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Mayo 2014" sheetId="1" r:id="rId1"/>
  </sheets>
  <definedNames>
    <definedName name="_xlnm._FilterDatabase" localSheetId="0" hidden="1">'Mayo 2014'!$A$8:$X$123</definedName>
    <definedName name="_xlnm.Print_Titles" localSheetId="0">'Mayo 2014'!$1:$8</definedName>
  </definedNames>
  <calcPr fullCalcOnLoad="1"/>
</workbook>
</file>

<file path=xl/comments1.xml><?xml version="1.0" encoding="utf-8"?>
<comments xmlns="http://schemas.openxmlformats.org/spreadsheetml/2006/main">
  <authors>
    <author>FUNCIONARIO</author>
  </authors>
  <commentList>
    <comment ref="B55" authorId="0">
      <text>
        <r>
          <rPr>
            <b/>
            <sz val="9"/>
            <rFont val="Tahoma"/>
            <family val="2"/>
          </rPr>
          <t>FUNCIONARIO: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<sst xmlns="http://schemas.openxmlformats.org/spreadsheetml/2006/main" count="563" uniqueCount="354">
  <si>
    <t>SISTEMA DE GESTIÓN DE CALIDAD</t>
  </si>
  <si>
    <t>CODIGO:  RF-P01-F08</t>
  </si>
  <si>
    <t>FORMATO CUADRO DE PROGRAMACIÓN DE PRÁCTICAS Y ASIGNACIÓN DE PRESUPUESTO PARA VIAJE</t>
  </si>
  <si>
    <t>VERSIÓN: 04</t>
  </si>
  <si>
    <t>FACULTAD:</t>
  </si>
  <si>
    <t>INSTITUTO DE EDUCACIÓN A DISTANCIA - IDEAD</t>
  </si>
  <si>
    <t>SEMESTRE A DE 2014</t>
  </si>
  <si>
    <t>No.</t>
  </si>
  <si>
    <t>DOCENTE/ TUTOR/NÚMERO DE CÉDULA</t>
  </si>
  <si>
    <t>ASIGNATURA / CURSO</t>
  </si>
  <si>
    <t>PROGRAMA</t>
  </si>
  <si>
    <t>NIVEL/ CREAD</t>
  </si>
  <si>
    <t xml:space="preserve">FECHA  </t>
  </si>
  <si>
    <t>DESTINO/ LUGAR A VISITAR</t>
  </si>
  <si>
    <t>DUR.</t>
  </si>
  <si>
    <t>HORA  DE SALIDA</t>
  </si>
  <si>
    <t>No. Est.</t>
  </si>
  <si>
    <t>COMBUSTIBLE (GASOLINA / ACPM)</t>
  </si>
  <si>
    <t>VEHIC.</t>
  </si>
  <si>
    <t>CONDUCTOR</t>
  </si>
  <si>
    <t>COMBUST.</t>
  </si>
  <si>
    <t>PEAJES</t>
  </si>
  <si>
    <t>IMPREV.</t>
  </si>
  <si>
    <t xml:space="preserve">VIÁTICO </t>
  </si>
  <si>
    <t>TOTAL COSTOS TRANSP.</t>
  </si>
  <si>
    <t>Auxilio de Práctica</t>
  </si>
  <si>
    <t>Viáticos Docentes/ Catedráticos</t>
  </si>
  <si>
    <t xml:space="preserve">Otros Gastos   </t>
  </si>
  <si>
    <t>COSTO TOTAL</t>
  </si>
  <si>
    <t>REINTEGROS</t>
  </si>
  <si>
    <t>Galones</t>
  </si>
  <si>
    <t>Valor</t>
  </si>
  <si>
    <t>Edgar  Antonio Del Río Quimbayo
C.C. 14.242.067 de Ibagué</t>
  </si>
  <si>
    <t>Investigación de Operaciones</t>
  </si>
  <si>
    <t>Ingeniería de Sistemas (0832)</t>
  </si>
  <si>
    <t>VII                        CREAD Chaparral Grupo 01</t>
  </si>
  <si>
    <t>02 de Mayo de 2014</t>
  </si>
  <si>
    <t>Ibagué - Cemex de Colombia</t>
  </si>
  <si>
    <t>(1)     Un Día</t>
  </si>
  <si>
    <t>07:00am</t>
  </si>
  <si>
    <t>ACPM</t>
  </si>
  <si>
    <t xml:space="preserve">OTE 036               (32 Est.)      </t>
  </si>
  <si>
    <t xml:space="preserve">Libardo García Naranjo                   C.C.   14.224.925  </t>
  </si>
  <si>
    <t>-</t>
  </si>
  <si>
    <t>Edwin Arley Amaya Villareal                               C.C. 80.053.015 de Bogotá D.C.</t>
  </si>
  <si>
    <t>VII                        CREAD Ibagué Grupo 01</t>
  </si>
  <si>
    <t>José Manuel Ramiro Osorio Canal                            C.C. 14.222.235 de Ibagué</t>
  </si>
  <si>
    <t xml:space="preserve">Manejo y Conservación de Suelos                         </t>
  </si>
  <si>
    <t>Tecnología en Protección y Recuperación de Ecosistemas Forestales  (0838)</t>
  </si>
  <si>
    <t>VI                    CREAD Ibagué</t>
  </si>
  <si>
    <t>Mayo 2 de 2014</t>
  </si>
  <si>
    <t xml:space="preserve">Armero </t>
  </si>
  <si>
    <t>(1)        Un Día</t>
  </si>
  <si>
    <t>05:30 a.m.</t>
  </si>
  <si>
    <t>OCJ 520     (39 Est.)</t>
  </si>
  <si>
    <t>Yuri Fernando Sánchez     C.C. 5.832.860</t>
  </si>
  <si>
    <t>Nestor Fidel Fajardo Puerta C.C 14.201.784 de Ibagué</t>
  </si>
  <si>
    <t>VI                 CREAD Coyaima</t>
  </si>
  <si>
    <t>Gendri Machado Bonilla                                       C.C. 93.362.768 de Ibagué</t>
  </si>
  <si>
    <t>Procesos Agroindustriales II</t>
  </si>
  <si>
    <t>Administración de Empresas Agropecuarias                                          (0836)</t>
  </si>
  <si>
    <t>VIII                              CREAD Ibagué</t>
  </si>
  <si>
    <t>Mayo 2 y 3 de 2014</t>
  </si>
  <si>
    <t>Ibagué - Universidad de Caldas. Planta piloto. Manizales.</t>
  </si>
  <si>
    <t>(2)  Días</t>
  </si>
  <si>
    <t>06:00 a.m.</t>
  </si>
  <si>
    <t>OTE 044      (28 Est.)</t>
  </si>
  <si>
    <t>Helman René Gutiérrez  C.C. 14.233.565</t>
  </si>
  <si>
    <t>Fundamentos de Botánica</t>
  </si>
  <si>
    <t>Licenciatura  en Ciencias Naturales y Educación Ambiental  (0846)</t>
  </si>
  <si>
    <t xml:space="preserve">II                                 Bogotá Suba Grupo 01 </t>
  </si>
  <si>
    <t>Mayo 03 de 2014</t>
  </si>
  <si>
    <t>Viota Cundinamarca - Mogambo</t>
  </si>
  <si>
    <t>(1)    Un Día</t>
  </si>
  <si>
    <t>05:00 a.m</t>
  </si>
  <si>
    <t>Se otorgará un apoyo económico ($2.000.000) a los estudiantes del CREAD Bogotá Suba Grupo 01 para la contratación de un vehículo hasta el lugar a visitar (Viota Cundinamarca - Mogambo),   en  Coordinación  con el CREAD y la Dirección del Programa , que cumpla con las condiciones necesarias que garanticen el desarrolllo de la práctica.</t>
  </si>
  <si>
    <t>Orlando  Quiñonez Méndez                          C.C 5.886.239 de Chaparral</t>
  </si>
  <si>
    <t>Bioquímica</t>
  </si>
  <si>
    <t>Licenciatura en Ciencias Naturales y Educación Ambiental  (0846)</t>
  </si>
  <si>
    <t>III                Chaparral</t>
  </si>
  <si>
    <t>Mayo 3 de 2014</t>
  </si>
  <si>
    <t>Ibagué-Universidad del Tolima-Laboratorios</t>
  </si>
  <si>
    <t>(1)   Día</t>
  </si>
  <si>
    <t>No requiere de asignación vehícular, en razón a que la práctica se realizará en las instalaciones física de la U.T., los estudiantes del CREAD Chaparral se les otorgará un apoyo económico para su desplazamiento hasta el CREAD Ibague y Viceversa.</t>
  </si>
  <si>
    <t xml:space="preserve">Ernesto Monroy González                                                  C.C. 14.240.085 de Ibagué                       </t>
  </si>
  <si>
    <t xml:space="preserve">Confrontación Teórico-Práctica                       </t>
  </si>
  <si>
    <t>VI                              CREAD Ibagué</t>
  </si>
  <si>
    <t>Mayo 5, 6, 7, 8 y 9 de 2014</t>
  </si>
  <si>
    <t>Ibagué-La Paila (Ingenio Riopaila-Castilla S.A.)-Roldanillo (Institución Técnica Profesional, INTEP-CEDEAGRO)-Bolívar (Vinícola Don Onofre)-Tulúa (Centro Latinoamericano de Especies Menores-CLEM-SENA)-Palmira (Centro Internacional de Agricultura Tropical, CIAT)-Cali (Fundación Miravalle)-Calarcá (Jardín Botánico del Quindio)-Ibagué</t>
  </si>
  <si>
    <t>(5) Cinco  Días</t>
  </si>
  <si>
    <t>OTE 045 (28 Est.)</t>
  </si>
  <si>
    <t xml:space="preserve">Laureano Gómez Hernández                                     C.C. 19.354.019   </t>
  </si>
  <si>
    <t>VI                               CREAD Santa Isabel</t>
  </si>
  <si>
    <t>Angelo Nieto Vivas C.C 93.389.310 de Ibagué</t>
  </si>
  <si>
    <t>II                            Ibagué Grupo 01 y 02</t>
  </si>
  <si>
    <t>Mayo 7 y 8 de 2014</t>
  </si>
  <si>
    <t>Viota Cundinamarca - Mogambo-Bogotá  - Jardin botánico jose celestino mutis.</t>
  </si>
  <si>
    <t>(2) Dos  Días</t>
  </si>
  <si>
    <t>Vehículo Contratado para 50 Estudiantes y un  tutor, para un total de 51 participantes , en razón a que no hubo disponibilidad vehícular</t>
  </si>
  <si>
    <t>Gustavo Martínez Villalobos                                      C.C.14.243.915 de Ibagué</t>
  </si>
  <si>
    <t>Ingeniería de Software</t>
  </si>
  <si>
    <t>VII                        CREAD Ibagué Grupo 02</t>
  </si>
  <si>
    <t>08 de Mayo de 2014</t>
  </si>
  <si>
    <t>Bogotá (Microsoft)</t>
  </si>
  <si>
    <t>(1) Un Día</t>
  </si>
  <si>
    <t>05:00am</t>
  </si>
  <si>
    <t>Vehículo Contratado para 25 Estudiantes y un  tutor, para un total de 26 participantes , en razón a que no hubo disponibilidad vehícular</t>
  </si>
  <si>
    <t xml:space="preserve">Héctor Tacuma Chango C.C. 14.236.510 de Ibagué                                                              </t>
  </si>
  <si>
    <t xml:space="preserve">Electiva III,                                       Dendrología,                            </t>
  </si>
  <si>
    <t>Tecnología en Protección y Recuperación de Ecosistemas Forestales (0838)</t>
  </si>
  <si>
    <t>III                  Ibagué</t>
  </si>
  <si>
    <t>Mayo 8, 9, 10 y 11 de 2014</t>
  </si>
  <si>
    <t>Ibagué-Buga-Bajocalima-Ibagué/Centro Experimental Bajo Calima (Buenaventura)</t>
  </si>
  <si>
    <t>(4) Cuatro Días</t>
  </si>
  <si>
    <t>05:00 a.m.</t>
  </si>
  <si>
    <t>Vehículo Contratado para 32 Estudiantes y dos  tutores, para un total de 34 participantes , en razón a que no hubo disponibilidad vehícular</t>
  </si>
  <si>
    <t>Johana Andrea Quiroga Colorado                                                         C.C. 65.778.423 de Ibagué</t>
  </si>
  <si>
    <t>Ender Adalvis Quevedo Arias                                 C.C. 8.321.428 de Apartadó</t>
  </si>
  <si>
    <t>VII                        CREAD Urabá Grupo 01</t>
  </si>
  <si>
    <t>9 de Mayo de 2014</t>
  </si>
  <si>
    <t>Saliendo de Apartadó - INGESOFT-EQ</t>
  </si>
  <si>
    <t>(1) un día</t>
  </si>
  <si>
    <t>Se otorgará un apoyo económico ($200.000) a los estudiantes del CREAD Urabá para la contratación de un vehículo hasta el lugar a visitar (Saliendo de Apartadó - INGESOFT-EQ),   en  Coordinación  con el CREAD y la Dirección del Programa , que cumpla con las condiciones necesarias que garanticen el desarrolllo de la práctica.</t>
  </si>
  <si>
    <t>Edgar Castillo Bustos                            C.C. 14.241.065 de Ibagué</t>
  </si>
  <si>
    <t>Inventario Forestal</t>
  </si>
  <si>
    <t>V                  CREAD Ibagué</t>
  </si>
  <si>
    <t>Mayo 9 de 2014</t>
  </si>
  <si>
    <t>Vereda la María, Quebrada El corazón, Cañón del Combeima, dos horas fuera del casco urbano de la ciudad del Ibagué</t>
  </si>
  <si>
    <t>07:00 a.m.</t>
  </si>
  <si>
    <t>Vehículo Contratado para 14 Estudiantes y un  tutor, para un total de 15 participantes , en razón a que no hubo disponibilidad vehícular</t>
  </si>
  <si>
    <t>Procesos Agroindustriales I</t>
  </si>
  <si>
    <t>VII                              CREAD Ibagué</t>
  </si>
  <si>
    <t>Mayo 9 y 10 de 2014</t>
  </si>
  <si>
    <t>OTE 035        (32 Est.)</t>
  </si>
  <si>
    <t>Luis Fernando González Toro                  C.C. 19.497.877</t>
  </si>
  <si>
    <t>VII                              CREAD Santa Isabel</t>
  </si>
  <si>
    <t xml:space="preserve">Luis Felipe Cañas Sánchez                                       C.C. 14.216.480 de Ibagué                               </t>
  </si>
  <si>
    <t>Trabajo Comunitario</t>
  </si>
  <si>
    <t>I                                  Grupo 01  y Grupo 02  CREAD Ibagué</t>
  </si>
  <si>
    <t>Ibagué-Líbano-Murillo-Ibagué/Granja La Trina, Fundación Manos Protectoras</t>
  </si>
  <si>
    <t>(2)     Dos Días</t>
  </si>
  <si>
    <t>Vehículo Contratado para 55 Estudiantes y dos  tutores, para un total de 57 participantes , en razón a que no hubo disponibilidad vehícular</t>
  </si>
  <si>
    <t xml:space="preserve">José María Hoyos Pardo                                  C.C. 14.217.079 de Ibagué                        </t>
  </si>
  <si>
    <t>Joaquín Mora Peralta C.C. 14.217.149 de Ibagué</t>
  </si>
  <si>
    <t>Climatología</t>
  </si>
  <si>
    <t>II           Grupo 1 CREAD                       Ibagué</t>
  </si>
  <si>
    <t xml:space="preserve">Ibagué- Armero - Líbano - Murillo </t>
  </si>
  <si>
    <t>Vehículo Contratado para 22 Estudiantes y un  tutor, para un total de 23 participantes , en razón a que no hubo disponibilidad vehícular</t>
  </si>
  <si>
    <t xml:space="preserve">José Hember Ramírez Quimbayo                                 C.C. 5.992.800 de Rovira    </t>
  </si>
  <si>
    <t xml:space="preserve">Sistemas de Producción y Desarrollo Rural        </t>
  </si>
  <si>
    <t>IX                                               CREAD Ibagué</t>
  </si>
  <si>
    <t>Mayo 9, 10 y 11 de 2014</t>
  </si>
  <si>
    <t>Ibagué - Desierto de la Tatacoa - Neiva Huila - Área de influencia del Proyecto Cuenca del Río la Ceibas FAO</t>
  </si>
  <si>
    <t>(3)              Días</t>
  </si>
  <si>
    <t>OTE 046      (28 Est.)</t>
  </si>
  <si>
    <t>Luis Armando Acosta  Triviño     C.C. 93.371.646 de Ibagué</t>
  </si>
  <si>
    <t>Biología Celular</t>
  </si>
  <si>
    <t>I                Rioblanco</t>
  </si>
  <si>
    <t>Mayo 10 de 2014</t>
  </si>
  <si>
    <t>No requiere de asignación vehícular, en razón a que la práctica se realizará en las instalaciones física de la U.T., los estudiantes del CREAD Rioblanco se les otorgará un apoyo económico para su desplazamiento hasta el CREAD Ibague y Viceversa.</t>
  </si>
  <si>
    <t>Alonso Rojas Barrera                    C.C. 14.973.377 de Cali</t>
  </si>
  <si>
    <t xml:space="preserve">Electiva-Núcleo de Desarrollo Económico y Contable </t>
  </si>
  <si>
    <t>XI                                                      CREAD Ibagué</t>
  </si>
  <si>
    <t>Ibagué-Guamo (Finca Acuapez)-Ibagué</t>
  </si>
  <si>
    <t>(1)              Un Día</t>
  </si>
  <si>
    <t>Vehículo Contratado para 2 Estudiantes y un  tutor, para un total de 13 participantes , en razón a que no hubo disponibilidad vehícular</t>
  </si>
  <si>
    <t>Orlando Quiñonez Méndez                           C.C. 5.886.239 de Chaparral</t>
  </si>
  <si>
    <t>Vida y Materia</t>
  </si>
  <si>
    <t>Licenciatura para la Educación Básica en Ciencias Naturales y Educación Ambiental  (0834)</t>
  </si>
  <si>
    <t>IV                 Rioblanco</t>
  </si>
  <si>
    <t>Sandra Patricia Cabra Flórez                                     C.C 52.052.718 de Bogotá</t>
  </si>
  <si>
    <t>II                Bogotá Kennedy Grupo 01 y 02</t>
  </si>
  <si>
    <t>Se otorgará un apoyo económico ($2.000.000) a los estudiantes del CREAD Bogotá Kennedy Grupo 01 y 02  para la contratación de un vehículo hasta el lugar a visitar (Viota Cundinamarca - Mogambo),   en  Coordinación  con el CREAD y la Dirección del Programa , que cumpla con las condiciones necesarias que garanticen el desarrolllo de la práctica.</t>
  </si>
  <si>
    <t>Jesus Aurelio Triana Góngora                                        C.C 14.215.420 de Ibagué</t>
  </si>
  <si>
    <t>Vida y Energía</t>
  </si>
  <si>
    <t>V                   Rioblanco</t>
  </si>
  <si>
    <t>Bogotá-parque interactivo Maloka</t>
  </si>
  <si>
    <t>(1)   Un Día</t>
  </si>
  <si>
    <t>OTE 003      (14 Est.)</t>
  </si>
  <si>
    <t xml:space="preserve">Santos Rivadeneira C.C. 16.609.040    </t>
  </si>
  <si>
    <t>Vehículo Contratado para 5 Estudiantes y un tutor  para un total de 20 participantes , en razón a que no hubo disponibilidad vehícular</t>
  </si>
  <si>
    <t>Juan Pablo Téllez Oyola                             C.C. 93.386.337 de Ibagué</t>
  </si>
  <si>
    <t>Comunicación y Redes II</t>
  </si>
  <si>
    <t>VI             CREAD   Ibagué Grupo 01</t>
  </si>
  <si>
    <t>14, 15 y 16 de Mayo de 2014</t>
  </si>
  <si>
    <t>Medellín - Guatapé (Manpower, EPM, Metro y CIMTED)</t>
  </si>
  <si>
    <t>(3) Tres  Días</t>
  </si>
  <si>
    <t>Vehículo Contratado para 40 Estudiantes  y un tutor  para un total de 41 participantes , en razón a que no hubo disponibilidad vehícular</t>
  </si>
  <si>
    <t>VI             CREAD   Ibagué Grupo 02</t>
  </si>
  <si>
    <t>Flaminio Vera Mendez C.C. 93116379 del Espinal</t>
  </si>
  <si>
    <t>VIII                      CREAD Ibagué Grupo 02</t>
  </si>
  <si>
    <t>16 de Mayo de 2014</t>
  </si>
  <si>
    <t>Vehículo Contratado para 20 Estudiantes y un tutor  para un total de 21 participantes , en razón a que no hubo disponibilidad vehícular</t>
  </si>
  <si>
    <t>Edafología</t>
  </si>
  <si>
    <t>V      CREAD Ibagué</t>
  </si>
  <si>
    <t>Mayo 16 de 2014</t>
  </si>
  <si>
    <t>Ibagué-laboratorio de Suelos Sede Central UT.</t>
  </si>
  <si>
    <t>No Requiere de Asignación Vehícular, por estar ubicado el lugar de destino en zona urbana.</t>
  </si>
  <si>
    <t>Luis Rafael Bonilla Gonzalez                                                                           C.C. 14.228.043 de Ibagué</t>
  </si>
  <si>
    <t xml:space="preserve">Silvicultura de Plantaciones y Bosque Natural - Diagnóstico de Cuencas Hidrográficas </t>
  </si>
  <si>
    <t>VI         CREAD Ibagué</t>
  </si>
  <si>
    <t>Mayo 15, 16 y 17 de 2014</t>
  </si>
  <si>
    <t>Ibagué, Armenia Restrepo Valle del Cauca</t>
  </si>
  <si>
    <t>(3)     Tres Días</t>
  </si>
  <si>
    <t>Vehículo Contratado para 35 Estudiantes y dos  tutores, para un total de 37 participantes , en razón a que no hubo disponibilidad vehícular</t>
  </si>
  <si>
    <t xml:space="preserve">Luis Felipe Cañas Sánchez                                        C.C. 14.216.480 de Ibagué                               </t>
  </si>
  <si>
    <t>VI        CREAD Coyaima</t>
  </si>
  <si>
    <t>Jaquelin Castillo García                                                       C.C  65.743.527de Ibagué</t>
  </si>
  <si>
    <t xml:space="preserve">II                    Bogotá Tunal Grupo 01 </t>
  </si>
  <si>
    <t>Mayo 17 de 2014</t>
  </si>
  <si>
    <t>Se otorgará un apoyo económico ($2.000.000) a los estudiantes del CREAD Bogotá Tunal Grupo 01 para la contratación de un vehículo hasta el lugar a visitar (Viota Cundinamarca - Mogambo),   en  Coordinación  con el CREAD y la Dirección del Programa , que cumpla con las condiciones necesarias que garanticen el desarrolllo de la práctica.</t>
  </si>
  <si>
    <t>Ivan Camilo Lombana                         C.C 5.820.434 de Ibagué</t>
  </si>
  <si>
    <t xml:space="preserve">V                   Ibagué Grupo 01 </t>
  </si>
  <si>
    <t>Vehículo Contratado para 28 Estudiantes y un tutor  para un total de 29 participantes , en razón a que no hubo disponibilidad vehícular</t>
  </si>
  <si>
    <t>Álvaro Clavijo Gutiérrez                         C.C 351.814 de Pasca</t>
  </si>
  <si>
    <t>V                   Sibaté</t>
  </si>
  <si>
    <t xml:space="preserve">Se otorgará un apoyo económico ($104.000) a los estudiantes del CREAD de Sibaté para que se desplacen hasta el lugar a visitar (IBogotá-parque interactivo Maloka)  en  Coordinación  con el CREAD y la Dirección del Programa, con el objetivo de garantizar el desarrollo de la práctica. </t>
  </si>
  <si>
    <t>Paulina Yolanda Parga Lozano                              C.C 65.753.303 de Ibagué</t>
  </si>
  <si>
    <t>Electiva: Una mirada al Campo</t>
  </si>
  <si>
    <t xml:space="preserve">VII                                     Ibagué                                                         Grupo 01 </t>
  </si>
  <si>
    <t>Mayo 17 y 18 de 2014</t>
  </si>
  <si>
    <t xml:space="preserve">Ibagué, Quimbaya (Quindío). Granja Mamá Lulú,  Jardín Botánico (Calarcá). </t>
  </si>
  <si>
    <t>(2) Dos días</t>
  </si>
  <si>
    <t>Sandra Milena Gracia Galicia                                          C.C 65.77.7352 de Ibagué.</t>
  </si>
  <si>
    <t xml:space="preserve">Gina Paola Osorio Salamanca                                 C.C 28.556.969 de Ibagué. </t>
  </si>
  <si>
    <t>Mi casa el planeta tierra</t>
  </si>
  <si>
    <t>VI                   Cali-V Homologación</t>
  </si>
  <si>
    <t>Buenaventura-San Cipriano (Vía Buenaventura)-</t>
  </si>
  <si>
    <t>Se otorgará un apoyo económico ($2.000.000) a los estudiantes del CREAD Cali,  para la contratación de un vehículo hasta el lugar a visitar (Zipaquira, laguna de Fuquene, Raquira, desierto la Candelaria, Villa de Leyva),   en  Coordinación  con el CREAD y la Dirección del Programa , que cumpla con las condiciones necesarias que garanticen el desarrolllo de la práctica.</t>
  </si>
  <si>
    <t>Maria Fernanda Trejos López                           C.C 31.970.885 de Cali</t>
  </si>
  <si>
    <t>V                                 Cali</t>
  </si>
  <si>
    <t>Jaquelin Castillo García                             C.C 65.743.527 de Ibagué</t>
  </si>
  <si>
    <t>Electiva: Una mirada al campo</t>
  </si>
  <si>
    <t xml:space="preserve">   IX                                    Bogotá Tunal  Grupo 01</t>
  </si>
  <si>
    <t>Se otorgará un apoyo económico ($3.000.000) a los estudiantes del CREAD Bogotá Tunal Grupo 01 para la contratación de un vehículo hasta el lugar a visitar (Ibagué, Quimbaya (Quindío). Granja Mamá Lulú,  Jardín Botánico (Calarcá). ),   en  Coordinación  con el CREAD y la Dirección del Programa , que cumpla con las condiciones necesarias que garanticen el desarrolllo de la práctica.</t>
  </si>
  <si>
    <t xml:space="preserve">Elizabeth Garcia Lozano                                           C.C 38.245.496 de Ibagué               </t>
  </si>
  <si>
    <t>Electiva: Una Mirada al Campo</t>
  </si>
  <si>
    <t>VII                                              Bogotá Suba   Grupo 01 y 02.</t>
  </si>
  <si>
    <t>Se otorgará un apoyo económico ($4.500.000) a los estudiantes del CREAD Bogotá Suba Grupo 01 y 02 para la contratación de un vehículo hasta el lugar a visitar (Ibagué, Quimbaya (Quindío). Granja Mamá Lulú,  Jardín Botánico (Calarcá). ),   en  Coordinación  con el CREAD y la Dirección del Programa , que cumpla con las condiciones necesarias que garanticen el desarrolllo de la práctica.</t>
  </si>
  <si>
    <t>Oscar Ramiro Alarcon Pinzón                              C.C. 93.380.018 de Ibagué</t>
  </si>
  <si>
    <t>Sistemática y Manejo de Fauna Silvestre</t>
  </si>
  <si>
    <t>III          Grupo 1 y 2                           CREAD   Ibagué</t>
  </si>
  <si>
    <t>Mayo 23 y 24 de 2014</t>
  </si>
  <si>
    <t xml:space="preserve">Mariposario Armenia - Zoológico de Cali </t>
  </si>
  <si>
    <t>Vehículo Contratado para 32 Estudiantes y un  tutor, para un total de 33 participantes , en razón a que no hubo disponibilidad vehícular</t>
  </si>
  <si>
    <t xml:space="preserve">Amador Ávila Tejero  C.C 79.388.974 de Bogotá                                   </t>
  </si>
  <si>
    <t>Bótanica Taxonomica</t>
  </si>
  <si>
    <t>III                   Bogotá-Kennedy  Grupo 01 y 02</t>
  </si>
  <si>
    <t>Mayo 30 y 1 de Junio de 2014</t>
  </si>
  <si>
    <t>Zipaquira, Laguna de Fuquene, Raquira, Desierto la Candelaria, Villa de Leyva</t>
  </si>
  <si>
    <t>Se otorgará un apoyo económico ($3.500.000) a los estudiantes del CREAD Bogotá Tunal -Grupo 01, Bogotá Kennedy - Grupo 01 y 02  para la contratación de un vehículo hasta el lugar a visitar (Planta de Tratamiento Aguas Residuales Yaguara),   en  Coordinación  con el CREAD y la Dirección del Programa , que cumpla con las condiciones necesarias que garanticen el desarrolllo de la práctica.</t>
  </si>
  <si>
    <t>Carmen Elisa Velásquez Molina  C.C 28.834.559 de Mariquita</t>
  </si>
  <si>
    <t xml:space="preserve">III                                 Bogotá-Tunal Grupo 01 </t>
  </si>
  <si>
    <t xml:space="preserve">Jhony Carvajal Fernández C.C 14.239.713 de Ibagué                                                                                                                                                                                                                     </t>
  </si>
  <si>
    <t>Espacio y Patrimonio Cultural/Gestión y Desarrollo de Destinos Turísticos</t>
  </si>
  <si>
    <t>Administración Turística y Hotelera (0835)</t>
  </si>
  <si>
    <t>V y VI                                   Semestre Ibagué</t>
  </si>
  <si>
    <t>30, 31 de Mayo, 1 y 2 de Junio de 2014</t>
  </si>
  <si>
    <t xml:space="preserve">Duitama, Paipa, Villa de Leyva, Sutamarchán, Ráquira, Ubaté y Cucunubá, </t>
  </si>
  <si>
    <t>(4)        Cuatro días</t>
  </si>
  <si>
    <t xml:space="preserve">Martha Patricia Vergara Bermúdez                                                         C.C. 38.252.284 de Ibagué. </t>
  </si>
  <si>
    <t xml:space="preserve">Oscar Blandón Suárez            C.C 93.354.873 de Ibagué                                             </t>
  </si>
  <si>
    <t>Eficiencia Física Deportiva / Actividades Acuáticas</t>
  </si>
  <si>
    <t>Técnico Profesional en Turismo de Aventura (0840) - Universidad Humana</t>
  </si>
  <si>
    <t>II                                                       Semestre   Ibagué</t>
  </si>
  <si>
    <t>31 de Mayo, 1 y 2 de Junio de 2014</t>
  </si>
  <si>
    <t>Quimbaya y Barragán, Quindio.</t>
  </si>
  <si>
    <t>(3) Tres días</t>
  </si>
  <si>
    <t>05:00       a.m</t>
  </si>
  <si>
    <t>Eliana Marcela Pérez Castillo                                               C.C 28.544.782 de Ibagué</t>
  </si>
  <si>
    <t>Rosa Liliana Ríos Cárdenas                                                                C.C. 52.122.857 de Bogotá.</t>
  </si>
  <si>
    <t xml:space="preserve">III                        Bogotá-Suba  Grupo 01 </t>
  </si>
  <si>
    <t>Mayo 31  y 1 de Junio de 2014</t>
  </si>
  <si>
    <t>Zipaquira, laguna de Fuquene, Raquira, desierto la Candelaria, Villa de Leyva</t>
  </si>
  <si>
    <t>Se otorgará un apoyo económico ($2.000.000) a los estudiantes del CREAD Bogotá Suba Grupo 01 para la contratación de un vehículo hasta el lugar a visitar (Zipaquira, laguna de Fuquene, Raquira, desierto la Candelaria, Villa de Leyva),   en  Coordinación  con el CREAD y la Dirección del Programa , que cumpla con las condiciones necesarias que garanticen el desarrolllo de la práctica.</t>
  </si>
  <si>
    <t>Carmen Elisa Velásquez Molina                 C.C 28.834.559 de Mariquita</t>
  </si>
  <si>
    <t xml:space="preserve">III                   Chaparral Grupo 01 </t>
  </si>
  <si>
    <t>Mayo 31, Junio 1 y 2  de 2014</t>
  </si>
  <si>
    <t>Vehículo Contratado para 52 Estudiantes y un  tutor, para un total de 53 participantes , en razón a que no hubo disponibilidad vehícular</t>
  </si>
  <si>
    <t>Jorge Arturo  Romero Barrera                                   C.C 93.335.934 de Mariquita</t>
  </si>
  <si>
    <t xml:space="preserve">III                      Ibagué Grupo 01 y grupo 02 </t>
  </si>
  <si>
    <t>Mayo 31,  Junio 1 y 2  de 2014</t>
  </si>
  <si>
    <t>Derly Constanza  Yara Ortiz                                         C.C 28.548.971 de Ibagué</t>
  </si>
  <si>
    <t>VIII                    Ibagué</t>
  </si>
  <si>
    <t>Mayo 31, Junio 01 y 02  de 2014</t>
  </si>
  <si>
    <t>Villavicencio (Parque Temático los Ocarros) ,(comunidad indigena Huitoto), Restrepo (granja cosmopolita ) Puerto López (Parque Merecure) y Rio Meta</t>
  </si>
  <si>
    <t>Vehículo Contratado para 30 Estudiantes y un  tutor, para un total de 31 participantes , en razón a que no hubo disponibilidad vehícular</t>
  </si>
  <si>
    <t>Hernan Torres Yanguas                                       C.C. 17.156.649 de Bogotá</t>
  </si>
  <si>
    <t>VIII                    Bogotá Tunal</t>
  </si>
  <si>
    <t>Se otorgará un apoyo económico ($3.500.000) a los estudiantes del CREAD Bogotá Tunal para la contratación de un vehículo hasta el lugar a visitar (Villavicencio (Parque Temático los Ocarros) ,(comunidad indigena Huitoto), Restrepo (granja cosmopolita ) Puerto López (Parque Merecure) y Rio Meta),   en  Coordinación  con el CREAD y la Dirección del Programa , que cumpla con las condiciones necesarias que garanticen el desarrolllo de la práctica.</t>
  </si>
  <si>
    <t>TOTAL</t>
  </si>
  <si>
    <r>
      <t xml:space="preserve">OTROS GASTOS:  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ITÉM NÚMERO 1 </t>
    </r>
    <r>
      <rPr>
        <sz val="9"/>
        <rFont val="Arial"/>
        <family val="2"/>
      </rPr>
      <t xml:space="preserve"> APOYO ECONÓMICO PARA DESPLAZAMIENTOS DE LOS ESTUDIANTES DESDE EL CENTRO REGIONAL DE CHAPARRAL </t>
    </r>
    <r>
      <rPr>
        <b/>
        <sz val="9"/>
        <rFont val="Arial"/>
        <family val="2"/>
      </rPr>
      <t xml:space="preserve"> ($240.000) </t>
    </r>
    <r>
      <rPr>
        <sz val="9"/>
        <rFont val="Arial"/>
        <family val="2"/>
      </rPr>
      <t xml:space="preserve"> HASTA CENTRO REGIONAL IBAGUÉ. APOYO ECONÓMICO PARA LOS ESTUDIANTES SEGÚN ACUERDO DEL CONSEJO SUPERIOR No. 0026 DE </t>
    </r>
  </si>
  <si>
    <r>
      <t xml:space="preserve">                                     DICIEMBRE 12/2013</t>
    </r>
    <r>
      <rPr>
        <b/>
        <sz val="9"/>
        <rFont val="Arial"/>
        <family val="2"/>
      </rPr>
      <t xml:space="preserve"> ($360.000)</t>
    </r>
  </si>
  <si>
    <r>
      <t xml:space="preserve">                                     </t>
    </r>
    <r>
      <rPr>
        <b/>
        <sz val="9"/>
        <rFont val="Arial"/>
        <family val="2"/>
      </rPr>
      <t xml:space="preserve">ITÉM NÚMERO  2  </t>
    </r>
    <r>
      <rPr>
        <sz val="9"/>
        <rFont val="Arial"/>
        <family val="2"/>
      </rPr>
      <t xml:space="preserve">APOYO ECONÓMICO PARA DESPLAZAMIENTOS DE LOS ESTUDIANTES DESDE EL CENTRO REGIONAL DE COYAIMA </t>
    </r>
    <r>
      <rPr>
        <b/>
        <sz val="9"/>
        <rFont val="Arial"/>
        <family val="2"/>
      </rPr>
      <t xml:space="preserve">($ 242.000)  </t>
    </r>
    <r>
      <rPr>
        <sz val="9"/>
        <rFont val="Arial"/>
        <family val="2"/>
      </rPr>
      <t>HASTA CENTRO REGIONAL IBAGUÉ Y VICEVERSA. APOYO ECONÓMICO PARA LOS ESTUDIANTES SEGÚN ACUERDO DEL CONSEJO SUPERIOR No.0026</t>
    </r>
  </si>
  <si>
    <r>
      <t xml:space="preserve">                                     DE DICIEMBRE 12/2013</t>
    </r>
    <r>
      <rPr>
        <b/>
        <sz val="9"/>
        <rFont val="Arial"/>
        <family val="2"/>
      </rPr>
      <t xml:space="preserve"> ($420.000).  </t>
    </r>
  </si>
  <si>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                                  ITÉM NÚMERO 3 </t>
    </r>
    <r>
      <rPr>
        <sz val="9"/>
        <rFont val="Arial"/>
        <family val="2"/>
      </rPr>
      <t xml:space="preserve"> APOYO ECONÓMICO PARA ALQUILER DE LABORATORIO Y COMPRA DE MATERIA PRIMA </t>
    </r>
    <r>
      <rPr>
        <b/>
        <sz val="9"/>
        <rFont val="Arial"/>
        <family val="2"/>
      </rPr>
      <t>($800.000).</t>
    </r>
    <r>
      <rPr>
        <sz val="9"/>
        <rFont val="Arial"/>
        <family val="2"/>
      </rPr>
      <t xml:space="preserve"> APOYO ECONÓMICO PARA LOS ESTUDIANTES SEGÚN ACUERDO DEL CONSEJO SUPERIOR No. 0026 DE DICIEMBRE 12/2013</t>
    </r>
    <r>
      <rPr>
        <b/>
        <sz val="9"/>
        <rFont val="Arial"/>
        <family val="2"/>
      </rPr>
      <t xml:space="preserve"> ($360.000)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</si>
  <si>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4  </t>
    </r>
    <r>
      <rPr>
        <sz val="9"/>
        <color indexed="8"/>
        <rFont val="Arial"/>
        <family val="2"/>
      </rPr>
      <t>APOYO ECONÓMICO PARA CONTRATACIÓN DE VEHÍCULO PARA LOS ESTUDIANTES DEL CREAD DE SIBATÉ HASTA EL LUGAR A VISITAR</t>
    </r>
    <r>
      <rPr>
        <b/>
        <sz val="9"/>
        <color indexed="8"/>
        <rFont val="Arial"/>
        <family val="2"/>
      </rPr>
      <t xml:space="preserve">  ($2.000.000)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($444.000).  </t>
    </r>
    <r>
      <rPr>
        <sz val="9"/>
        <color indexed="8"/>
        <rFont val="Arial"/>
        <family val="2"/>
      </rPr>
      <t>APOYO ECONÓMICO</t>
    </r>
  </si>
  <si>
    <r>
      <t xml:space="preserve">                                     PARA LAS ENTRADAS AL LUGAR A VISITAR </t>
    </r>
    <r>
      <rPr>
        <b/>
        <sz val="9"/>
        <color indexed="8"/>
        <rFont val="Arial"/>
        <family val="2"/>
      </rPr>
      <t>($407.000)</t>
    </r>
  </si>
  <si>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ITÉM NÚMERO 5 </t>
    </r>
    <r>
      <rPr>
        <sz val="9"/>
        <rFont val="Arial"/>
        <family val="2"/>
      </rPr>
      <t xml:space="preserve">APOYO ECONÓMICO  PARA DESPLAZAMIENTO DE LOS ESTUDIANTES DESDE EL CREAD DE CHAPARRAL HASTA IBAGUÉ Y VICEVERSA </t>
    </r>
    <r>
      <rPr>
        <b/>
        <sz val="9"/>
        <rFont val="Arial"/>
        <family val="2"/>
      </rPr>
      <t xml:space="preserve"> ($648.000) </t>
    </r>
    <r>
      <rPr>
        <sz val="9"/>
        <rFont val="Arial"/>
        <family val="2"/>
      </rPr>
      <t>. APOYO ECONÓMICO PARA LOS ESTUDIANTES SEGÚN ACUERDO DEL CONSEJO SUPERIOR No. 0026 DE DICIEMBRE 12/2013 (</t>
    </r>
    <r>
      <rPr>
        <b/>
        <sz val="9"/>
        <rFont val="Arial"/>
        <family val="2"/>
      </rPr>
      <t>$324.000)</t>
    </r>
  </si>
  <si>
    <r>
      <t xml:space="preserve">                                      </t>
    </r>
    <r>
      <rPr>
        <b/>
        <sz val="9"/>
        <rFont val="Arial"/>
        <family val="2"/>
      </rPr>
      <t xml:space="preserve">ITÉM NÚMERO  6 </t>
    </r>
    <r>
      <rPr>
        <sz val="9"/>
        <rFont val="Arial"/>
        <family val="2"/>
      </rPr>
      <t xml:space="preserve">APOYO ECONÓMICO PARA DESPLAZAMIENTOS DE LOS ESTUDIANTES DESDE EL CENTRO REGIONAL DE SANTA ISABEL </t>
    </r>
    <r>
      <rPr>
        <b/>
        <sz val="9"/>
        <rFont val="Arial"/>
        <family val="2"/>
      </rPr>
      <t xml:space="preserve">($ 135.000)  </t>
    </r>
    <r>
      <rPr>
        <sz val="9"/>
        <rFont val="Arial"/>
        <family val="2"/>
      </rPr>
      <t>HASTA CENTRO REGIONAL IBAGUÉ Y VICEVERSA. APOYO ECONÓMICO PARA LOS ESTUDIANTES SEGÚN ACUERDO DEL CONSEJO SUPERIOR No.0026</t>
    </r>
  </si>
  <si>
    <r>
      <t xml:space="preserve">                                      DE DICIEMBRE 12/2013 </t>
    </r>
    <r>
      <rPr>
        <b/>
        <sz val="9"/>
        <rFont val="Arial"/>
        <family val="2"/>
      </rPr>
      <t xml:space="preserve">($1.620.000).  </t>
    </r>
    <r>
      <rPr>
        <sz val="9"/>
        <rFont val="Arial"/>
        <family val="2"/>
      </rPr>
      <t>APOYO ECONÓMICO PARA ENTRADAS A LOS LUGARES A VISITAR</t>
    </r>
    <r>
      <rPr>
        <b/>
        <sz val="9"/>
        <rFont val="Arial"/>
        <family val="2"/>
      </rPr>
      <t xml:space="preserve"> ($162.000). </t>
    </r>
    <r>
      <rPr>
        <sz val="9"/>
        <rFont val="Arial"/>
        <family val="2"/>
      </rPr>
      <t xml:space="preserve"> 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</si>
  <si>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 ITÉM NÚMERO 7 </t>
    </r>
    <r>
      <rPr>
        <sz val="9"/>
        <color indexed="8"/>
        <rFont val="Arial"/>
        <family val="2"/>
      </rPr>
      <t xml:space="preserve">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($1.200.000).  </t>
    </r>
    <r>
      <rPr>
        <sz val="9"/>
        <color indexed="8"/>
        <rFont val="Arial"/>
        <family val="2"/>
      </rPr>
      <t xml:space="preserve">APOYO ECONÓMICO PARA LAS ENTRADAS AL LUGAR A VISITAR </t>
    </r>
    <r>
      <rPr>
        <b/>
        <sz val="9"/>
        <color indexed="8"/>
        <rFont val="Arial"/>
        <family val="2"/>
      </rPr>
      <t>($1.100.000)</t>
    </r>
  </si>
  <si>
    <r>
      <t xml:space="preserve">                                     </t>
    </r>
    <r>
      <rPr>
        <b/>
        <sz val="9"/>
        <rFont val="Arial"/>
        <family val="2"/>
      </rPr>
      <t>ITÉM NÚMERO 8</t>
    </r>
    <r>
      <rPr>
        <sz val="9"/>
        <rFont val="Arial"/>
        <family val="2"/>
      </rPr>
      <t xml:space="preserve"> APOYO ECONÓMICO PARA LOS ESTUDIANTES SEGÚN ACUERDO DEL CONSEJO SUPERIOR No. 0026 DE DICIEMBRE 12/2013 </t>
    </r>
    <r>
      <rPr>
        <b/>
        <sz val="9"/>
        <rFont val="Arial"/>
        <family val="2"/>
      </rPr>
      <t>($300.000)</t>
    </r>
  </si>
  <si>
    <r>
      <t xml:space="preserve">                                     </t>
    </r>
    <r>
      <rPr>
        <b/>
        <sz val="9"/>
        <rFont val="Arial"/>
        <family val="2"/>
      </rPr>
      <t>ITÉM NÚMERO 9</t>
    </r>
    <r>
      <rPr>
        <sz val="9"/>
        <rFont val="Arial"/>
        <family val="2"/>
      </rPr>
      <t xml:space="preserve"> APOYO ECONÓMICO PARA LOS ESTUDIANTES SEGÚN ACUERDO DEL CONSEJO SUPERIOR No. 0026 DE DICIEMBRE 12/2013 </t>
    </r>
    <r>
      <rPr>
        <b/>
        <sz val="9"/>
        <rFont val="Arial"/>
        <family val="2"/>
      </rPr>
      <t>($1.536.000)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</si>
  <si>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 ITÉM NÚMERO 10  </t>
    </r>
    <r>
      <rPr>
        <sz val="9"/>
        <color indexed="8"/>
        <rFont val="Arial"/>
        <family val="2"/>
      </rPr>
      <t>APOYO ECONÓMICO PARA CONTRATACIÓN DE VEHÍCULO PARA LOS ESTUDIANTES DEL CREAD DE URABA HASTA EL LUGAR A VISITAR</t>
    </r>
    <r>
      <rPr>
        <b/>
        <sz val="9"/>
        <color indexed="8"/>
        <rFont val="Arial"/>
        <family val="2"/>
      </rPr>
      <t xml:space="preserve">  ($200.000)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($180.000).  </t>
    </r>
  </si>
  <si>
    <r>
      <t xml:space="preserve">                                      </t>
    </r>
    <r>
      <rPr>
        <b/>
        <sz val="9"/>
        <rFont val="Arial"/>
        <family val="2"/>
      </rPr>
      <t>ITÉM NÚMERO 11</t>
    </r>
    <r>
      <rPr>
        <sz val="9"/>
        <rFont val="Arial"/>
        <family val="2"/>
      </rPr>
      <t xml:space="preserve">  APOYO ECONÓMICO PARA LOS ESTUDIANTES SEGÚN ACUERDO DEL CONSEJO SUPERIOR No. 0026 DE DICIEMBRE 12/2013 </t>
    </r>
    <r>
      <rPr>
        <b/>
        <sz val="9"/>
        <rFont val="Arial"/>
        <family val="2"/>
      </rPr>
      <t>($168.000)</t>
    </r>
  </si>
  <si>
    <r>
      <t xml:space="preserve">                                      </t>
    </r>
    <r>
      <rPr>
        <b/>
        <sz val="9"/>
        <rFont val="Arial"/>
        <family val="2"/>
      </rPr>
      <t xml:space="preserve">ITÉM NÚMERO  12  </t>
    </r>
    <r>
      <rPr>
        <sz val="9"/>
        <rFont val="Arial"/>
        <family val="2"/>
      </rPr>
      <t xml:space="preserve">APOYO ECONÓMICO PARA DESPLAZAMIENTOS DE LOS ESTUDIANTES DESDE EL CENTRO REGIONAL DE SANTA ISABEL </t>
    </r>
    <r>
      <rPr>
        <b/>
        <sz val="9"/>
        <rFont val="Arial"/>
        <family val="2"/>
      </rPr>
      <t xml:space="preserve">($ 135.000)  </t>
    </r>
    <r>
      <rPr>
        <sz val="9"/>
        <rFont val="Arial"/>
        <family val="2"/>
      </rPr>
      <t>HASTA CENTRO REGIONAL IBAGUÉ Y VICEVERSA. APOYO ECONÓMICO PARA LOS ESTUDIANTES SEGÚN ACUERDO DEL CONSEJO SUPERIOR No.0026</t>
    </r>
  </si>
  <si>
    <r>
      <t xml:space="preserve">                                      DE DICIEMBRE 12/2013 </t>
    </r>
    <r>
      <rPr>
        <b/>
        <sz val="9"/>
        <rFont val="Arial"/>
        <family val="2"/>
      </rPr>
      <t xml:space="preserve">($576.000).  </t>
    </r>
    <r>
      <rPr>
        <sz val="9"/>
        <rFont val="Arial"/>
        <family val="2"/>
      </rPr>
      <t>APOYO ECONÓMICO PARA ALQUILER DE LABORATORIO Y COMPRA DE MATERIA PRIMA</t>
    </r>
    <r>
      <rPr>
        <b/>
        <sz val="9"/>
        <rFont val="Arial"/>
        <family val="2"/>
      </rPr>
      <t xml:space="preserve"> ($800.000). </t>
    </r>
    <r>
      <rPr>
        <sz val="9"/>
        <rFont val="Arial"/>
        <family val="2"/>
      </rPr>
      <t xml:space="preserve"> </t>
    </r>
  </si>
  <si>
    <r>
      <t xml:space="preserve">                                     </t>
    </r>
    <r>
      <rPr>
        <b/>
        <sz val="9"/>
        <rFont val="Arial"/>
        <family val="2"/>
      </rPr>
      <t>ITÉM NÚMERO 13</t>
    </r>
    <r>
      <rPr>
        <sz val="9"/>
        <rFont val="Arial"/>
        <family val="2"/>
      </rPr>
      <t xml:space="preserve">  APOYO ECONÓMICO PARA LOS ESTUDIANTES SEGÚN ACUERDO DEL CONSEJO SUPERIOR No. 0026 DE DICIEMBRE 12/2013 </t>
    </r>
    <r>
      <rPr>
        <b/>
        <sz val="9"/>
        <rFont val="Arial"/>
        <family val="2"/>
      </rPr>
      <t>($1.320.000)</t>
    </r>
  </si>
  <si>
    <r>
      <t xml:space="preserve">                                     </t>
    </r>
    <r>
      <rPr>
        <b/>
        <sz val="9"/>
        <rFont val="Arial"/>
        <family val="2"/>
      </rPr>
      <t>ITÉM NÚMERO 14</t>
    </r>
    <r>
      <rPr>
        <sz val="9"/>
        <rFont val="Arial"/>
        <family val="2"/>
      </rPr>
      <t xml:space="preserve">  APOYO ECONÓMICO PARA LOS ESTUDIANTES SEGÚN ACUERDO DEL CONSEJO SUPERIOR No. 0026 DE DICIEMBRE 12/2013</t>
    </r>
    <r>
      <rPr>
        <b/>
        <sz val="9"/>
        <rFont val="Arial"/>
        <family val="2"/>
      </rPr>
      <t xml:space="preserve"> ($528.000)</t>
    </r>
  </si>
  <si>
    <r>
      <t xml:space="preserve">                                    </t>
    </r>
    <r>
      <rPr>
        <b/>
        <sz val="9"/>
        <rFont val="Arial"/>
        <family val="2"/>
      </rPr>
      <t xml:space="preserve">ITÉM NÚMERO 15  </t>
    </r>
    <r>
      <rPr>
        <sz val="9"/>
        <rFont val="Arial"/>
        <family val="2"/>
      </rPr>
      <t>APOYO ECONÓMICO PARA LOS ESTUDIANTES SEGÚN ACUERDO DEL CONSEJO SUPERIOR No.0026 DE DICIEMBRE 12/2013</t>
    </r>
    <r>
      <rPr>
        <b/>
        <sz val="9"/>
        <rFont val="Arial"/>
        <family val="2"/>
      </rPr>
      <t xml:space="preserve"> ($576.000).</t>
    </r>
  </si>
  <si>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ITÉM NÚMERO 16 </t>
    </r>
    <r>
      <rPr>
        <sz val="9"/>
        <rFont val="Arial"/>
        <family val="2"/>
      </rPr>
      <t xml:space="preserve">APOYO ECONÓMICO  PARA DESPLAZAMIENTO DE LOS ESTUDIANTES DESDE EL CREAD DE RIOBLANCO HASTA IBAGUÉ Y VICEVERSA </t>
    </r>
    <r>
      <rPr>
        <b/>
        <sz val="9"/>
        <rFont val="Arial"/>
        <family val="2"/>
      </rPr>
      <t xml:space="preserve"> ($576.000) </t>
    </r>
    <r>
      <rPr>
        <sz val="9"/>
        <rFont val="Arial"/>
        <family val="2"/>
      </rPr>
      <t>. APOYO ECONÓMICO PARA LOS ESTUDIANTES SEGÚN ACUERDO DEL CONSEJO SUPERIOR No. 0026 DE DICIEMBRE 12/2013 (</t>
    </r>
    <r>
      <rPr>
        <b/>
        <sz val="9"/>
        <rFont val="Arial"/>
        <family val="2"/>
      </rPr>
      <t>$288.000)</t>
    </r>
  </si>
  <si>
    <r>
      <t xml:space="preserve">                                    </t>
    </r>
    <r>
      <rPr>
        <b/>
        <sz val="9"/>
        <rFont val="Arial"/>
        <family val="2"/>
      </rPr>
      <t xml:space="preserve">ITÉM NÚMERO  17  </t>
    </r>
    <r>
      <rPr>
        <sz val="9"/>
        <rFont val="Arial"/>
        <family val="2"/>
      </rPr>
      <t xml:space="preserve">APOYO ECONÓMICO PARA ENTRADAS AL LUGAR A VISITAR </t>
    </r>
    <r>
      <rPr>
        <b/>
        <sz val="9"/>
        <rFont val="Arial"/>
        <family val="2"/>
      </rPr>
      <t>($24.000)</t>
    </r>
    <r>
      <rPr>
        <sz val="9"/>
        <rFont val="Arial"/>
        <family val="2"/>
      </rPr>
      <t>. APOYO ECONÓMICO PARA LOS ESTUDIANTES SEGÚN ACUERDO DEL CONSEJO SUPERIOR No.0026 DE DICIEMBRE 12/2013</t>
    </r>
    <r>
      <rPr>
        <b/>
        <sz val="9"/>
        <rFont val="Arial"/>
        <family val="2"/>
      </rPr>
      <t xml:space="preserve"> ($144.000).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</si>
  <si>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18  </t>
    </r>
    <r>
      <rPr>
        <sz val="9"/>
        <color indexed="8"/>
        <rFont val="Arial"/>
        <family val="2"/>
      </rPr>
      <t>APOYO ECONÓMICO PARA DESPLAZAMIENTO DE LOS ESTUDIANTES DEL CREAD DE RIOBLANCO HASTA IBAGUÉ Y VICEVERSA</t>
    </r>
    <r>
      <rPr>
        <b/>
        <sz val="9"/>
        <color indexed="8"/>
        <rFont val="Arial"/>
        <family val="2"/>
      </rPr>
      <t xml:space="preserve">  ($456.000)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($228.000).  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</si>
  <si>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19 </t>
    </r>
    <r>
      <rPr>
        <sz val="9"/>
        <color indexed="8"/>
        <rFont val="Arial"/>
        <family val="2"/>
      </rPr>
      <t>APOYO ECONÓMICO PARA CONTRATACIÓN DE VEHÍCULO PARA LOS ESTUDIANTES DEL CREAD DE BOGOTÁ KENNEDY HASTA EL LUGAR A VISITAR</t>
    </r>
    <r>
      <rPr>
        <b/>
        <sz val="9"/>
        <color indexed="8"/>
        <rFont val="Arial"/>
        <family val="2"/>
      </rPr>
      <t xml:space="preserve">  ($2.000.000)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($552.000).  </t>
    </r>
    <r>
      <rPr>
        <sz val="9"/>
        <color indexed="8"/>
        <rFont val="Arial"/>
        <family val="2"/>
      </rPr>
      <t xml:space="preserve">APOYO </t>
    </r>
  </si>
  <si>
    <r>
      <t xml:space="preserve">                                    ECONÓMICO PARA LAS ENTRADAS AL LUGAR A VISITAR </t>
    </r>
    <r>
      <rPr>
        <b/>
        <sz val="9"/>
        <color indexed="8"/>
        <rFont val="Arial"/>
        <family val="2"/>
      </rPr>
      <t>($506.000)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</si>
  <si>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20  </t>
    </r>
    <r>
      <rPr>
        <sz val="9"/>
        <color indexed="8"/>
        <rFont val="Arial"/>
        <family val="2"/>
      </rPr>
      <t>APOYO ECONÓMICO PARA DESPLAZAMIENTO DE LOS ESTUDIANTES DEL CREAD DE RIOBLANCO HASTA IBAGUÉ Y VICEVERSA</t>
    </r>
    <r>
      <rPr>
        <b/>
        <sz val="9"/>
        <color indexed="8"/>
        <rFont val="Arial"/>
        <family val="2"/>
      </rPr>
      <t xml:space="preserve">  ($456.000)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($228.000). </t>
    </r>
    <r>
      <rPr>
        <sz val="9"/>
        <color indexed="8"/>
        <rFont val="Arial"/>
        <family val="2"/>
      </rPr>
      <t xml:space="preserve">  APOYO ECONÓMICO PARA LAS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</si>
  <si>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</t>
    </r>
    <r>
      <rPr>
        <sz val="9"/>
        <color indexed="8"/>
        <rFont val="Arial"/>
        <family val="2"/>
      </rPr>
      <t xml:space="preserve">ENTRADAS AL LUGAR A VISITAR </t>
    </r>
    <r>
      <rPr>
        <b/>
        <sz val="9"/>
        <color indexed="8"/>
        <rFont val="Arial"/>
        <family val="2"/>
      </rPr>
      <t>($ 209.000).</t>
    </r>
  </si>
  <si>
    <r>
      <t xml:space="preserve">                                     </t>
    </r>
    <r>
      <rPr>
        <b/>
        <sz val="9"/>
        <rFont val="Arial"/>
        <family val="2"/>
      </rPr>
      <t>ITÉM NÚMERO 21</t>
    </r>
    <r>
      <rPr>
        <sz val="9"/>
        <rFont val="Arial"/>
        <family val="2"/>
      </rPr>
      <t xml:space="preserve"> APOYO ECONÓMICO PARA LOS ESTUDIANTES SEGÚN ACUERDO DEL CONSEJO SUPERIOR No. 0026 DE DICIEMBRE 12/2013 </t>
    </r>
    <r>
      <rPr>
        <b/>
        <sz val="9"/>
        <rFont val="Arial"/>
        <family val="2"/>
      </rPr>
      <t>($1.440.000)</t>
    </r>
  </si>
  <si>
    <r>
      <t xml:space="preserve">                                    </t>
    </r>
    <r>
      <rPr>
        <b/>
        <sz val="9"/>
        <rFont val="Arial"/>
        <family val="2"/>
      </rPr>
      <t xml:space="preserve">ITÉM NÚMERO 22 </t>
    </r>
    <r>
      <rPr>
        <sz val="9"/>
        <rFont val="Arial"/>
        <family val="2"/>
      </rPr>
      <t xml:space="preserve">APOYO ECONÓMICO PARA LOS ESTUDIANTES SEGÚN ACUERDO DEL CONSEJO SUPERIOR No. 0026 DE DICIEMBRE 12/2013 </t>
    </r>
    <r>
      <rPr>
        <b/>
        <sz val="9"/>
        <rFont val="Arial"/>
        <family val="2"/>
      </rPr>
      <t>($240.000)</t>
    </r>
  </si>
  <si>
    <r>
      <t xml:space="preserve">                                    </t>
    </r>
    <r>
      <rPr>
        <b/>
        <sz val="9"/>
        <rFont val="Arial"/>
        <family val="2"/>
      </rPr>
      <t>ITÉM NÚMERO 23</t>
    </r>
    <r>
      <rPr>
        <sz val="9"/>
        <rFont val="Arial"/>
        <family val="2"/>
      </rPr>
      <t xml:space="preserve">  APOYO ECONÓMICO PARA LOS ESTUDIANTES SEGÚN ACUERDO DEL CONSEJO SUPERIOR No. 0026 DE DICIEMBRE 12/2013 </t>
    </r>
    <r>
      <rPr>
        <b/>
        <sz val="9"/>
        <rFont val="Arial"/>
        <family val="2"/>
      </rPr>
      <t>($168.000)</t>
    </r>
  </si>
  <si>
    <r>
      <t xml:space="preserve">                                    </t>
    </r>
    <r>
      <rPr>
        <b/>
        <sz val="9"/>
        <rFont val="Arial"/>
        <family val="2"/>
      </rPr>
      <t xml:space="preserve">ITÉM NÚMERO  24  </t>
    </r>
    <r>
      <rPr>
        <sz val="9"/>
        <rFont val="Arial"/>
        <family val="2"/>
      </rPr>
      <t>APOYO ECONÓMICO PARA DESPLAZAMIENTOS DE LOS ESTUDIANTES DESDE EL CENTRO REGIONAL DE COYAIMA</t>
    </r>
    <r>
      <rPr>
        <b/>
        <sz val="9"/>
        <rFont val="Arial"/>
        <family val="2"/>
      </rPr>
      <t xml:space="preserve"> ($242.000) </t>
    </r>
    <r>
      <rPr>
        <sz val="9"/>
        <rFont val="Arial"/>
        <family val="2"/>
      </rPr>
      <t>HASTA CENTRO REGIONAL IBAGUÉ Y VICEVERSA. APOYO ECONÓMICO PARA LOS ESTUDIANTES SEGÚN ACUERDO DEL CONSEJO SUPERIOR No.</t>
    </r>
  </si>
  <si>
    <r>
      <t xml:space="preserve">                                   0026 DE DICIEMBRE 12/2013 </t>
    </r>
    <r>
      <rPr>
        <b/>
        <sz val="9"/>
        <rFont val="Arial"/>
        <family val="2"/>
      </rPr>
      <t xml:space="preserve">($1.260.000).  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</si>
  <si>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ITÉM NÚMERO 25  </t>
    </r>
    <r>
      <rPr>
        <sz val="9"/>
        <color indexed="8"/>
        <rFont val="Arial"/>
        <family val="2"/>
      </rPr>
      <t>APOYO ECONÓMICO PARA CONTRATACIÓN DE VEHÍCULO PARA LOS ESTUDIANTES DEL CREAD DE BOGOTÁ KENNEDY Y BOGOTÁ TUNAL HASTA EL LUGAR A VISITAR</t>
    </r>
    <r>
      <rPr>
        <b/>
        <sz val="9"/>
        <color indexed="8"/>
        <rFont val="Arial"/>
        <family val="2"/>
      </rPr>
      <t xml:space="preserve">  ($2.000.000)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</t>
    </r>
  </si>
  <si>
    <r>
      <t xml:space="preserve">                                   12/2013</t>
    </r>
    <r>
      <rPr>
        <b/>
        <sz val="9"/>
        <color indexed="8"/>
        <rFont val="Arial"/>
        <family val="2"/>
      </rPr>
      <t xml:space="preserve"> ($492.000). </t>
    </r>
    <r>
      <rPr>
        <sz val="9"/>
        <color indexed="8"/>
        <rFont val="Arial"/>
        <family val="2"/>
      </rPr>
      <t xml:space="preserve">APOYO ECONÓMICO PARA LAS ENTRADAS AL LUGAR A VISITAR </t>
    </r>
    <r>
      <rPr>
        <b/>
        <sz val="9"/>
        <color indexed="8"/>
        <rFont val="Arial"/>
        <family val="2"/>
      </rPr>
      <t>($451.000)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</si>
  <si>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26  </t>
    </r>
    <r>
      <rPr>
        <sz val="9"/>
        <color indexed="8"/>
        <rFont val="Arial"/>
        <family val="2"/>
      </rPr>
      <t xml:space="preserve">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($336.000).  </t>
    </r>
    <r>
      <rPr>
        <sz val="9"/>
        <color indexed="8"/>
        <rFont val="Arial"/>
        <family val="2"/>
      </rPr>
      <t xml:space="preserve">APOYO ECONÓMICO PARA LAS ENTRADAS AL LUGAR A VISITAR </t>
    </r>
    <r>
      <rPr>
        <b/>
        <sz val="9"/>
        <color indexed="8"/>
        <rFont val="Arial"/>
        <family val="2"/>
      </rPr>
      <t>($308.000)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</si>
  <si>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27  </t>
    </r>
    <r>
      <rPr>
        <sz val="9"/>
        <color indexed="8"/>
        <rFont val="Arial"/>
        <family val="2"/>
      </rPr>
      <t>APOYO ECONÓMICO PARA DESPLAZAMIENTO DE LOS ESTUDIANTES DEL CREAD DE SIBATÉ HASTA EL LUGAR A VISITAR</t>
    </r>
    <r>
      <rPr>
        <b/>
        <sz val="9"/>
        <color indexed="8"/>
        <rFont val="Arial"/>
        <family val="2"/>
      </rPr>
      <t xml:space="preserve">  ($104.000)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($312.000). </t>
    </r>
    <r>
      <rPr>
        <sz val="9"/>
        <color indexed="8"/>
        <rFont val="Arial"/>
        <family val="2"/>
      </rPr>
      <t xml:space="preserve">APOYO ECONÓMICO PARA LAS </t>
    </r>
  </si>
  <si>
    <r>
      <t xml:space="preserve">                                    ENTRADAS AL LUGAR A VISITAR </t>
    </r>
    <r>
      <rPr>
        <b/>
        <sz val="9"/>
        <color indexed="8"/>
        <rFont val="Arial"/>
        <family val="2"/>
      </rPr>
      <t>($286.000).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</si>
  <si>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28  </t>
    </r>
    <r>
      <rPr>
        <sz val="9"/>
        <color indexed="8"/>
        <rFont val="Arial"/>
        <family val="2"/>
      </rPr>
      <t xml:space="preserve">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($744.000).  </t>
    </r>
    <r>
      <rPr>
        <sz val="9"/>
        <color indexed="8"/>
        <rFont val="Arial"/>
        <family val="2"/>
      </rPr>
      <t xml:space="preserve">APOYO ECONÓMICO PARA LAS ENTRADAS AL LUGAR A VISITAR </t>
    </r>
    <r>
      <rPr>
        <b/>
        <sz val="9"/>
        <color indexed="8"/>
        <rFont val="Arial"/>
        <family val="2"/>
      </rPr>
      <t>($620.000)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</si>
  <si>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29  </t>
    </r>
    <r>
      <rPr>
        <sz val="9"/>
        <color indexed="8"/>
        <rFont val="Arial"/>
        <family val="2"/>
      </rPr>
      <t>APOYO ECONÓMICO PARA CONTRATACIÓN DE VEHÍCULO PARA LOS ESTUDIANTES DEL CREAD DE CALI HASTA EL LUGAR A VISITAR</t>
    </r>
    <r>
      <rPr>
        <b/>
        <sz val="9"/>
        <color indexed="8"/>
        <rFont val="Arial"/>
        <family val="2"/>
      </rPr>
      <t xml:space="preserve">  ($2.000.000)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($648.000).  </t>
    </r>
    <r>
      <rPr>
        <sz val="9"/>
        <color indexed="8"/>
        <rFont val="Arial"/>
        <family val="2"/>
      </rPr>
      <t>APOYO ECONÓMICO</t>
    </r>
  </si>
  <si>
    <r>
      <t xml:space="preserve">                                    PARA LAS ENTRADAS AL LUGAR A VISITAR </t>
    </r>
    <r>
      <rPr>
        <b/>
        <sz val="9"/>
        <color indexed="8"/>
        <rFont val="Arial"/>
        <family val="2"/>
      </rPr>
      <t>($297.000)</t>
    </r>
  </si>
  <si>
    <r>
      <t xml:space="preserve">                                 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ITÉM NÚMERO 30</t>
    </r>
    <r>
      <rPr>
        <sz val="9"/>
        <rFont val="Arial"/>
        <family val="2"/>
      </rPr>
      <t xml:space="preserve">  APOYO ECONÓMICO PARA DESPLAZAMIENTOS DE LOS ESTUDIANTES DESDE EL CENTRO REGIONAL DE CALI </t>
    </r>
    <r>
      <rPr>
        <b/>
        <sz val="9"/>
        <rFont val="Arial"/>
        <family val="2"/>
      </rPr>
      <t>($1.080.000)</t>
    </r>
    <r>
      <rPr>
        <sz val="9"/>
        <rFont val="Arial"/>
        <family val="2"/>
      </rPr>
      <t xml:space="preserve"> HASTA IBAGUÉ Y VICEVERSA Y APOYO ECONÓMICO PARA LAS ENTRADAS </t>
    </r>
    <r>
      <rPr>
        <b/>
        <sz val="9"/>
        <rFont val="Arial"/>
        <family val="2"/>
      </rPr>
      <t xml:space="preserve">($297.000). </t>
    </r>
    <r>
      <rPr>
        <sz val="9"/>
        <rFont val="Arial"/>
        <family val="2"/>
      </rPr>
      <t>APOYO ECONÓMICO PARA LOS ESTUDIANTES SEGÚN ACUERDO DEL CONSEJO SUPERIOR</t>
    </r>
  </si>
  <si>
    <r>
      <t xml:space="preserve">                                    No. 0026 DE DICIEMBRE 12/2013 </t>
    </r>
    <r>
      <rPr>
        <b/>
        <sz val="9"/>
        <rFont val="Arial"/>
        <family val="2"/>
      </rPr>
      <t xml:space="preserve">($648.000). </t>
    </r>
    <r>
      <rPr>
        <sz val="9"/>
        <rFont val="Arial"/>
        <family val="2"/>
      </rPr>
      <t xml:space="preserve">  PAGO DE PASAJES AL DOCENTE </t>
    </r>
    <r>
      <rPr>
        <b/>
        <sz val="9"/>
        <rFont val="Arial"/>
        <family val="2"/>
      </rPr>
      <t xml:space="preserve"> ($80.000)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</si>
  <si>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31  </t>
    </r>
    <r>
      <rPr>
        <sz val="9"/>
        <color indexed="8"/>
        <rFont val="Arial"/>
        <family val="2"/>
      </rPr>
      <t>APOYO ECONÓMICO PARA CONTRATACIÓN DE VEHÍCULO PARA LOS ESTUDIANTES DEL CREAD DE BOGOTÁ SUBA HASTA EL LUGAR A VISITAR</t>
    </r>
    <r>
      <rPr>
        <b/>
        <sz val="9"/>
        <color indexed="8"/>
        <rFont val="Arial"/>
        <family val="2"/>
      </rPr>
      <t xml:space="preserve">  ($3.000.000)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($1.080.000).  </t>
    </r>
    <r>
      <rPr>
        <sz val="9"/>
        <color indexed="8"/>
        <rFont val="Arial"/>
        <family val="2"/>
      </rPr>
      <t xml:space="preserve">APOYO </t>
    </r>
  </si>
  <si>
    <r>
      <t xml:space="preserve">                                    ECONÓMICO PARA LAS ENTRADAS AL LUGAR A VISITAR </t>
    </r>
    <r>
      <rPr>
        <b/>
        <sz val="9"/>
        <color indexed="8"/>
        <rFont val="Arial"/>
        <family val="2"/>
      </rPr>
      <t>($675.000)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</si>
  <si>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32  </t>
    </r>
    <r>
      <rPr>
        <sz val="9"/>
        <color indexed="8"/>
        <rFont val="Arial"/>
        <family val="2"/>
      </rPr>
      <t>APOYO ECONÓMICO PARA CONTRATACIÓN DE VEHÍCULO PARA LOS ESTUDIANTES DEL CREAD DE BOGOTÁ SUBA HASTA EL LUGAR A VISITAR</t>
    </r>
    <r>
      <rPr>
        <b/>
        <sz val="9"/>
        <color indexed="8"/>
        <rFont val="Arial"/>
        <family val="2"/>
      </rPr>
      <t xml:space="preserve">  ($4.500.000)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($1.032.000).  </t>
    </r>
    <r>
      <rPr>
        <sz val="9"/>
        <color indexed="8"/>
        <rFont val="Arial"/>
        <family val="2"/>
      </rPr>
      <t>APOYO</t>
    </r>
  </si>
  <si>
    <r>
      <t xml:space="preserve">                                    ECONÓMICO PARA LAS ENTRADAS AL LUGAR A VISITAR </t>
    </r>
    <r>
      <rPr>
        <b/>
        <sz val="9"/>
        <color indexed="8"/>
        <rFont val="Arial"/>
        <family val="2"/>
      </rPr>
      <t>($645.000)</t>
    </r>
  </si>
  <si>
    <r>
      <t xml:space="preserve">                                    </t>
    </r>
    <r>
      <rPr>
        <b/>
        <sz val="9"/>
        <rFont val="Arial"/>
        <family val="2"/>
      </rPr>
      <t xml:space="preserve">ITÉM NÚMERO  33  </t>
    </r>
    <r>
      <rPr>
        <sz val="9"/>
        <rFont val="Arial"/>
        <family val="2"/>
      </rPr>
      <t xml:space="preserve"> APOYO ECONÓMICO PARA LOS ESTUDIANTES SEGÚN ACUERDO DEL CONSEJO SUPERIOR No.0026 DE DICIEMBRE 12/2013 </t>
    </r>
    <r>
      <rPr>
        <b/>
        <sz val="9"/>
        <rFont val="Arial"/>
        <family val="2"/>
      </rPr>
      <t xml:space="preserve">($768.000). </t>
    </r>
    <r>
      <rPr>
        <sz val="9"/>
        <rFont val="Arial"/>
        <family val="2"/>
      </rPr>
      <t xml:space="preserve"> AL IGUAL QUE UN APOYO ECONOMICO PARA LAS ENTRADAS DE LOS SITIOS A VISITAR </t>
    </r>
    <r>
      <rPr>
        <b/>
        <sz val="9"/>
        <rFont val="Arial"/>
        <family val="2"/>
      </rPr>
      <t>($512.000).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</si>
  <si>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 ITÉM NÚMERO 34  </t>
    </r>
    <r>
      <rPr>
        <sz val="9"/>
        <color indexed="8"/>
        <rFont val="Arial"/>
        <family val="2"/>
      </rPr>
      <t>APOYO ECONÓMICO PARA CONTRATACIÓN DE VEHÍCULO PARA LOS ESTUDIANTES DEL CREAD DE BOGOTÁ KENNEDY Y BOGOTÁ TUNAL HASTA EL LUGAR A VISITAR</t>
    </r>
    <r>
      <rPr>
        <b/>
        <sz val="9"/>
        <color indexed="8"/>
        <rFont val="Arial"/>
        <family val="2"/>
      </rPr>
      <t xml:space="preserve">  ($3.500.000)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</t>
    </r>
  </si>
  <si>
    <r>
      <t xml:space="preserve">                                    12/2013</t>
    </r>
    <r>
      <rPr>
        <b/>
        <sz val="9"/>
        <color indexed="8"/>
        <rFont val="Arial"/>
        <family val="2"/>
      </rPr>
      <t xml:space="preserve"> ($ 1.656.000). </t>
    </r>
    <r>
      <rPr>
        <sz val="9"/>
        <color indexed="8"/>
        <rFont val="Arial"/>
        <family val="2"/>
      </rPr>
      <t xml:space="preserve"> APOYO ECONÓMICO PARA LAS ENTRADAS AL LUGAR A VISITAR </t>
    </r>
    <r>
      <rPr>
        <b/>
        <sz val="9"/>
        <color indexed="8"/>
        <rFont val="Arial"/>
        <family val="2"/>
      </rPr>
      <t>($897.000)</t>
    </r>
  </si>
  <si>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ITÉM NÚMERO 35 </t>
    </r>
    <r>
      <rPr>
        <sz val="9"/>
        <rFont val="Arial"/>
        <family val="2"/>
      </rPr>
      <t xml:space="preserve">APOYO ECONÓMICO PARA ENTRADAS AL LUGAR A VISITAR </t>
    </r>
    <r>
      <rPr>
        <b/>
        <sz val="9"/>
        <rFont val="Arial"/>
        <family val="2"/>
      </rPr>
      <t xml:space="preserve"> ($960.000) </t>
    </r>
    <r>
      <rPr>
        <sz val="9"/>
        <rFont val="Arial"/>
        <family val="2"/>
      </rPr>
      <t>. APOYO ECONÓMICO PARA LOS ESTUDIANTES SEGÚN ACUERDO DEL CONSEJO SUPERIOR No. 0026 DE DICIEMBRE 12/2013 (</t>
    </r>
    <r>
      <rPr>
        <b/>
        <sz val="9"/>
        <rFont val="Arial"/>
        <family val="2"/>
      </rPr>
      <t>$2.880.000)</t>
    </r>
  </si>
  <si>
    <r>
      <t xml:space="preserve">                                    ITÉM NÚMERO 36</t>
    </r>
    <r>
      <rPr>
        <sz val="9"/>
        <rFont val="Arial"/>
        <family val="2"/>
      </rPr>
      <t xml:space="preserve"> APOYO ECONÓMICO PARA ENTRADAS AL LUGAR A VISITAR </t>
    </r>
    <r>
      <rPr>
        <b/>
        <sz val="9"/>
        <rFont val="Arial"/>
        <family val="2"/>
      </rPr>
      <t xml:space="preserve"> ($432.000) </t>
    </r>
    <r>
      <rPr>
        <sz val="9"/>
        <rFont val="Arial"/>
        <family val="2"/>
      </rPr>
      <t>. APOYO ECONÓMICO PARA LOS ESTUDIANTES SEGÚN ACUERDO DEL CONSEJO SUPERIOR No. 0026 DE DICIEMBRE 12/2013 (</t>
    </r>
    <r>
      <rPr>
        <b/>
        <sz val="9"/>
        <rFont val="Arial"/>
        <family val="2"/>
      </rPr>
      <t>$972.00)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</si>
  <si>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37  </t>
    </r>
    <r>
      <rPr>
        <sz val="9"/>
        <color indexed="8"/>
        <rFont val="Arial"/>
        <family val="2"/>
      </rPr>
      <t>APOYO ECONÓMICO PARA CONTRATACIÓN DE VEHÍCULO PARA LOS ESTUDIANTES DEL CREAD DE BOGOTÁ SUBA HASTA EL LUGAR A VISITAR</t>
    </r>
    <r>
      <rPr>
        <b/>
        <sz val="9"/>
        <color indexed="8"/>
        <rFont val="Arial"/>
        <family val="2"/>
      </rPr>
      <t xml:space="preserve">  ($2.000.000)</t>
    </r>
    <r>
      <rPr>
        <sz val="9"/>
        <color indexed="8"/>
        <rFont val="Arial"/>
        <family val="2"/>
      </rPr>
      <t xml:space="preserve"> .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($264.000).  </t>
    </r>
    <r>
      <rPr>
        <sz val="9"/>
        <color indexed="8"/>
        <rFont val="Arial"/>
        <family val="2"/>
      </rPr>
      <t xml:space="preserve">APOYO </t>
    </r>
  </si>
  <si>
    <r>
      <t xml:space="preserve">                                    ECONÓMICO PARA LAS ENTRADAS AL LUGAR A VISITAR </t>
    </r>
    <r>
      <rPr>
        <b/>
        <sz val="9"/>
        <color indexed="8"/>
        <rFont val="Arial"/>
        <family val="2"/>
      </rPr>
      <t>($143.000)</t>
    </r>
  </si>
  <si>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ITÉM NÚMERO 38 </t>
    </r>
    <r>
      <rPr>
        <sz val="9"/>
        <rFont val="Arial"/>
        <family val="2"/>
      </rPr>
      <t xml:space="preserve">APOYO ECONÓMICO  PARA DESPLAZAMIENTO DE LOS ESTUDIANTES DESDE EL CREAD DE CHAPARRAL HASTA IBAGUÉ Y VICEVERSA </t>
    </r>
    <r>
      <rPr>
        <b/>
        <sz val="9"/>
        <rFont val="Arial"/>
        <family val="2"/>
      </rPr>
      <t xml:space="preserve"> ($1.248.000) </t>
    </r>
    <r>
      <rPr>
        <sz val="9"/>
        <rFont val="Arial"/>
        <family val="2"/>
      </rPr>
      <t>. APOYO ECONÓMICO PARA LOS ESTUDIANTES SEGÚN ACUERDO DEL CONSEJO SUPERIOR No. 0026 DE DICIEMBRE 12/2013 (</t>
    </r>
    <r>
      <rPr>
        <b/>
        <sz val="9"/>
        <rFont val="Arial"/>
        <family val="2"/>
      </rPr>
      <t xml:space="preserve">$1.872.000). </t>
    </r>
    <r>
      <rPr>
        <sz val="9"/>
        <rFont val="Arial"/>
        <family val="2"/>
      </rPr>
      <t>APOYO ECONÓMICO</t>
    </r>
  </si>
  <si>
    <r>
      <rPr>
        <sz val="9"/>
        <rFont val="Arial"/>
        <family val="2"/>
      </rPr>
      <t xml:space="preserve">                                    PARA LAS ENTRADAS AL LUGAR A VISITAR </t>
    </r>
    <r>
      <rPr>
        <b/>
        <sz val="9"/>
        <rFont val="Arial"/>
        <family val="2"/>
      </rPr>
      <t>($676.000)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</si>
  <si>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39  </t>
    </r>
    <r>
      <rPr>
        <sz val="9"/>
        <color indexed="8"/>
        <rFont val="Arial"/>
        <family val="2"/>
      </rPr>
      <t xml:space="preserve">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($1.872.000).  </t>
    </r>
    <r>
      <rPr>
        <sz val="9"/>
        <color indexed="8"/>
        <rFont val="Arial"/>
        <family val="2"/>
      </rPr>
      <t xml:space="preserve">APOYO ECONÓMICO PARA LAS ENTRADAS AL LUGAR A VISITAR </t>
    </r>
    <r>
      <rPr>
        <b/>
        <sz val="9"/>
        <color indexed="8"/>
        <rFont val="Arial"/>
        <family val="2"/>
      </rPr>
      <t>($676.000)</t>
    </r>
  </si>
  <si>
    <r>
      <t xml:space="preserve">                              </t>
    </r>
    <r>
      <rPr>
        <b/>
        <sz val="9"/>
        <color indexed="8"/>
        <rFont val="Arial"/>
        <family val="2"/>
      </rPr>
      <t xml:space="preserve">      ITÉM NÚMERO 40  </t>
    </r>
    <r>
      <rPr>
        <sz val="9"/>
        <color indexed="8"/>
        <rFont val="Arial"/>
        <family val="2"/>
      </rPr>
      <t xml:space="preserve"> APOYO ECONÓMICO PARA LOS ESTUDIANTES SEGÚN ACUERDO DEL CONSEJO SUPERIOR No. 0026 DE DICIEMBRE 12/2013 </t>
    </r>
    <r>
      <rPr>
        <b/>
        <sz val="9"/>
        <color indexed="8"/>
        <rFont val="Arial"/>
        <family val="2"/>
      </rPr>
      <t xml:space="preserve">($1.080.000).  </t>
    </r>
    <r>
      <rPr>
        <sz val="9"/>
        <color indexed="8"/>
        <rFont val="Arial"/>
        <family val="2"/>
      </rPr>
      <t xml:space="preserve">APOYO ECONÓMICO PARA LAS ENTRADAS AL LUGAR A VISITAR </t>
    </r>
    <r>
      <rPr>
        <b/>
        <sz val="9"/>
        <color indexed="8"/>
        <rFont val="Arial"/>
        <family val="2"/>
      </rPr>
      <t>($900.000)</t>
    </r>
  </si>
  <si>
    <r>
      <t xml:space="preserve">                                    ITÉM NÚMERO 41</t>
    </r>
    <r>
      <rPr>
        <sz val="9"/>
        <rFont val="Arial"/>
        <family val="2"/>
      </rPr>
      <t xml:space="preserve">  APOYO ECONÓMICO PARA CONTRATACIÓN DE VEHÍCULO DE LOS ESTUDIANTES DESDE EL CENTRO REGIONAL DE CALI </t>
    </r>
    <r>
      <rPr>
        <b/>
        <sz val="9"/>
        <rFont val="Arial"/>
        <family val="2"/>
      </rPr>
      <t xml:space="preserve">($3.500.000) </t>
    </r>
    <r>
      <rPr>
        <sz val="9"/>
        <rFont val="Arial"/>
        <family val="2"/>
      </rPr>
      <t xml:space="preserve">HASTA EL LUGAR A VISITAR. APOYO ECONÓMICO PARA LAS ENTRADAS </t>
    </r>
    <r>
      <rPr>
        <b/>
        <sz val="9"/>
        <rFont val="Arial"/>
        <family val="2"/>
      </rPr>
      <t>($1.320.000).</t>
    </r>
    <r>
      <rPr>
        <sz val="9"/>
        <rFont val="Arial"/>
        <family val="2"/>
      </rPr>
      <t xml:space="preserve"> POYO ECONÓMICO PARA LOS ESTUDIANTES SEGÚN ACUERDO DEL CONSEJO </t>
    </r>
  </si>
  <si>
    <r>
      <t xml:space="preserve">                                    SUPERIOR No. 0026 DE DICIEMBRE 12/2013 </t>
    </r>
    <r>
      <rPr>
        <b/>
        <sz val="9"/>
        <rFont val="Arial"/>
        <family val="2"/>
      </rPr>
      <t xml:space="preserve">($1.584.000). </t>
    </r>
    <r>
      <rPr>
        <sz val="9"/>
        <rFont val="Arial"/>
        <family val="2"/>
      </rPr>
      <t xml:space="preserve">  PAGO DE PASAJES AL DOCENTE  </t>
    </r>
    <r>
      <rPr>
        <b/>
        <sz val="9"/>
        <rFont val="Arial"/>
        <family val="2"/>
      </rPr>
      <t>($50.000)</t>
    </r>
  </si>
  <si>
    <t>INDIRA ORFA TATIANA ROJAS OVIEDO</t>
  </si>
  <si>
    <t>Secretaría Académica Modalidad a Distancia                                                                                                            Universidad del Tolima</t>
  </si>
  <si>
    <t>IDEAD/Secretaría Académica/Bellanira C./Indira Orfa Tatiana R.</t>
  </si>
  <si>
    <t>Rosa Liliana Rios Cardenas                                     C.C 65.750.251 de Ibagué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</si>
</sst>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;@"/>
    <numFmt numFmtId="173" formatCode="dd/mm/yyyy;@"/>
    <numFmt numFmtId="174" formatCode="[$$-240A]\ #,##0"/>
    <numFmt numFmtId="175" formatCode="_ * #,##0.0_ ;_ * \-#,##0.0_ ;_ * &quot;-&quot;??_ ;_ @_ "/>
    <numFmt numFmtId="176" formatCode="00"/>
    <numFmt numFmtId="177" formatCode="&quot;$&quot;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9"/>
      <color indexed="8"/>
      <name val="Californian FB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Californian FB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justify" vertical="center" wrapText="1"/>
      <protection/>
    </xf>
    <xf numFmtId="49" fontId="3" fillId="0" borderId="0" xfId="52" applyNumberFormat="1" applyFont="1" applyFill="1" applyAlignment="1">
      <alignment horizontal="justify" vertical="center" wrapText="1"/>
      <protection/>
    </xf>
    <xf numFmtId="172" fontId="4" fillId="0" borderId="0" xfId="52" applyNumberFormat="1" applyFont="1" applyFill="1" applyAlignment="1">
      <alignment horizontal="center" vertical="center" wrapText="1"/>
      <protection/>
    </xf>
    <xf numFmtId="173" fontId="3" fillId="0" borderId="0" xfId="52" applyNumberFormat="1" applyFont="1" applyFill="1" applyAlignment="1">
      <alignment horizontal="justify" vertical="center" wrapText="1"/>
      <protection/>
    </xf>
    <xf numFmtId="49" fontId="4" fillId="0" borderId="0" xfId="52" applyNumberFormat="1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174" fontId="3" fillId="0" borderId="0" xfId="52" applyNumberFormat="1" applyFont="1" applyFill="1" applyAlignment="1">
      <alignment vertical="center"/>
      <protection/>
    </xf>
    <xf numFmtId="174" fontId="3" fillId="0" borderId="0" xfId="52" applyNumberFormat="1" applyFont="1" applyFill="1" applyAlignment="1">
      <alignment horizontal="center" vertical="center"/>
      <protection/>
    </xf>
    <xf numFmtId="174" fontId="4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justify" vertical="center" wrapText="1"/>
      <protection/>
    </xf>
    <xf numFmtId="0" fontId="6" fillId="0" borderId="0" xfId="52" applyFont="1" applyFill="1" applyBorder="1" applyAlignment="1">
      <alignment horizontal="justify" vertical="center" wrapText="1"/>
      <protection/>
    </xf>
    <xf numFmtId="49" fontId="6" fillId="0" borderId="0" xfId="52" applyNumberFormat="1" applyFont="1" applyFill="1" applyBorder="1" applyAlignment="1">
      <alignment horizontal="justify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3" fontId="6" fillId="0" borderId="0" xfId="52" applyNumberFormat="1" applyFont="1" applyFill="1" applyBorder="1" applyAlignment="1">
      <alignment horizontal="justify" vertical="center" wrapText="1"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175" fontId="6" fillId="0" borderId="0" xfId="48" applyNumberFormat="1" applyFont="1" applyFill="1" applyBorder="1" applyAlignment="1">
      <alignment horizontal="center" vertical="center" wrapText="1"/>
    </xf>
    <xf numFmtId="174" fontId="6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174" fontId="4" fillId="0" borderId="0" xfId="48" applyNumberFormat="1" applyFont="1" applyFill="1" applyAlignment="1">
      <alignment horizontal="center" vertical="center"/>
    </xf>
    <xf numFmtId="174" fontId="4" fillId="0" borderId="10" xfId="52" applyNumberFormat="1" applyFont="1" applyFill="1" applyBorder="1" applyAlignment="1">
      <alignment horizontal="center" vertical="center"/>
      <protection/>
    </xf>
    <xf numFmtId="174" fontId="4" fillId="0" borderId="11" xfId="5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74" fontId="4" fillId="0" borderId="12" xfId="52" applyNumberFormat="1" applyFont="1" applyFill="1" applyBorder="1" applyAlignment="1">
      <alignment horizontal="center" vertical="center" wrapText="1"/>
      <protection/>
    </xf>
    <xf numFmtId="17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74" fontId="3" fillId="0" borderId="13" xfId="52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4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174" fontId="3" fillId="0" borderId="10" xfId="52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18" fontId="3" fillId="0" borderId="12" xfId="52" applyNumberFormat="1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174" fontId="3" fillId="0" borderId="16" xfId="52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" fillId="0" borderId="18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justify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8" fontId="3" fillId="0" borderId="10" xfId="0" applyNumberFormat="1" applyFont="1" applyFill="1" applyBorder="1" applyAlignment="1">
      <alignment horizontal="center" vertical="center" wrapText="1"/>
    </xf>
    <xf numFmtId="174" fontId="4" fillId="0" borderId="16" xfId="52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174" fontId="4" fillId="0" borderId="15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justify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174" fontId="4" fillId="0" borderId="16" xfId="52" applyNumberFormat="1" applyFont="1" applyFill="1" applyBorder="1" applyAlignment="1">
      <alignment horizontal="justify" vertical="center" wrapText="1"/>
      <protection/>
    </xf>
    <xf numFmtId="174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52" applyNumberFormat="1" applyFont="1" applyFill="1" applyBorder="1" applyAlignment="1">
      <alignment horizontal="center" vertical="center" wrapText="1"/>
      <protection/>
    </xf>
    <xf numFmtId="174" fontId="4" fillId="0" borderId="0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justify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1" xfId="52" applyFont="1" applyFill="1" applyBorder="1" applyAlignment="1">
      <alignment vertical="center"/>
      <protection/>
    </xf>
    <xf numFmtId="174" fontId="3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horizontal="center"/>
    </xf>
    <xf numFmtId="0" fontId="4" fillId="0" borderId="14" xfId="52" applyFont="1" applyFill="1" applyBorder="1" applyAlignment="1">
      <alignment horizontal="justify" vertical="center" wrapText="1"/>
      <protection/>
    </xf>
    <xf numFmtId="0" fontId="4" fillId="0" borderId="15" xfId="52" applyFont="1" applyFill="1" applyBorder="1" applyAlignment="1">
      <alignment horizontal="justify" vertical="center" wrapText="1"/>
      <protection/>
    </xf>
    <xf numFmtId="0" fontId="4" fillId="0" borderId="16" xfId="52" applyFont="1" applyFill="1" applyBorder="1" applyAlignment="1">
      <alignment horizontal="justify" vertical="center" wrapText="1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174" fontId="4" fillId="0" borderId="12" xfId="52" applyNumberFormat="1" applyFont="1" applyFill="1" applyBorder="1" applyAlignment="1">
      <alignment horizontal="center" vertical="center" wrapText="1"/>
      <protection/>
    </xf>
    <xf numFmtId="174" fontId="4" fillId="0" borderId="13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176" fontId="3" fillId="0" borderId="14" xfId="52" applyNumberFormat="1" applyFont="1" applyFill="1" applyBorder="1" applyAlignment="1">
      <alignment horizontal="justify" vertical="center" wrapText="1"/>
      <protection/>
    </xf>
    <xf numFmtId="176" fontId="3" fillId="0" borderId="15" xfId="52" applyNumberFormat="1" applyFont="1" applyFill="1" applyBorder="1" applyAlignment="1">
      <alignment horizontal="justify" vertical="center" wrapText="1"/>
      <protection/>
    </xf>
    <xf numFmtId="176" fontId="3" fillId="0" borderId="16" xfId="52" applyNumberFormat="1" applyFont="1" applyFill="1" applyBorder="1" applyAlignment="1">
      <alignment horizontal="justify" vertical="center" wrapText="1"/>
      <protection/>
    </xf>
    <xf numFmtId="174" fontId="3" fillId="0" borderId="12" xfId="52" applyNumberFormat="1" applyFont="1" applyFill="1" applyBorder="1" applyAlignment="1">
      <alignment horizontal="center" vertical="center"/>
      <protection/>
    </xf>
    <xf numFmtId="174" fontId="3" fillId="0" borderId="13" xfId="52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justify" vertical="center" wrapText="1"/>
      <protection/>
    </xf>
    <xf numFmtId="0" fontId="3" fillId="0" borderId="13" xfId="52" applyFont="1" applyFill="1" applyBorder="1" applyAlignment="1">
      <alignment horizontal="justify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174" fontId="3" fillId="0" borderId="12" xfId="52" applyNumberFormat="1" applyFont="1" applyFill="1" applyBorder="1" applyAlignment="1">
      <alignment horizontal="center" vertical="center" wrapText="1"/>
      <protection/>
    </xf>
    <xf numFmtId="174" fontId="3" fillId="0" borderId="13" xfId="52" applyNumberFormat="1" applyFont="1" applyFill="1" applyBorder="1" applyAlignment="1">
      <alignment horizontal="center" vertical="center" wrapText="1"/>
      <protection/>
    </xf>
    <xf numFmtId="174" fontId="4" fillId="0" borderId="21" xfId="52" applyNumberFormat="1" applyFont="1" applyFill="1" applyBorder="1" applyAlignment="1">
      <alignment horizontal="center" vertical="center" wrapText="1"/>
      <protection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justify" vertical="center" wrapText="1"/>
      <protection/>
    </xf>
    <xf numFmtId="0" fontId="3" fillId="0" borderId="13" xfId="53" applyFont="1" applyFill="1" applyBorder="1" applyAlignment="1">
      <alignment horizontal="justify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21" xfId="52" applyNumberFormat="1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justify" vertical="center" wrapText="1"/>
      <protection/>
    </xf>
    <xf numFmtId="0" fontId="3" fillId="0" borderId="20" xfId="52" applyFont="1" applyFill="1" applyBorder="1" applyAlignment="1">
      <alignment horizontal="justify" vertical="center" wrapText="1"/>
      <protection/>
    </xf>
    <xf numFmtId="0" fontId="3" fillId="0" borderId="23" xfId="52" applyFont="1" applyFill="1" applyBorder="1" applyAlignment="1">
      <alignment horizontal="justify" vertical="center" wrapText="1"/>
      <protection/>
    </xf>
    <xf numFmtId="0" fontId="3" fillId="0" borderId="24" xfId="52" applyFont="1" applyFill="1" applyBorder="1" applyAlignment="1">
      <alignment horizontal="justify" vertical="center" wrapText="1"/>
      <protection/>
    </xf>
    <xf numFmtId="0" fontId="3" fillId="0" borderId="0" xfId="52" applyFont="1" applyFill="1" applyBorder="1" applyAlignment="1">
      <alignment horizontal="justify" vertical="center" wrapText="1"/>
      <protection/>
    </xf>
    <xf numFmtId="0" fontId="3" fillId="0" borderId="25" xfId="52" applyFont="1" applyFill="1" applyBorder="1" applyAlignment="1">
      <alignment horizontal="justify" vertical="center" wrapText="1"/>
      <protection/>
    </xf>
    <xf numFmtId="0" fontId="3" fillId="0" borderId="26" xfId="52" applyFont="1" applyFill="1" applyBorder="1" applyAlignment="1">
      <alignment horizontal="justify" vertical="center" wrapText="1"/>
      <protection/>
    </xf>
    <xf numFmtId="0" fontId="3" fillId="0" borderId="11" xfId="52" applyFont="1" applyFill="1" applyBorder="1" applyAlignment="1">
      <alignment horizontal="justify" vertical="center" wrapText="1"/>
      <protection/>
    </xf>
    <xf numFmtId="0" fontId="3" fillId="0" borderId="27" xfId="52" applyFont="1" applyFill="1" applyBorder="1" applyAlignment="1">
      <alignment horizontal="justify" vertical="center" wrapText="1"/>
      <protection/>
    </xf>
    <xf numFmtId="174" fontId="3" fillId="0" borderId="21" xfId="52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4" xfId="53" applyFont="1" applyFill="1" applyBorder="1" applyAlignment="1">
      <alignment horizontal="justify" vertical="center" wrapText="1"/>
      <protection/>
    </xf>
    <xf numFmtId="0" fontId="3" fillId="0" borderId="15" xfId="53" applyFont="1" applyFill="1" applyBorder="1" applyAlignment="1">
      <alignment horizontal="justify" vertical="center" wrapText="1"/>
      <protection/>
    </xf>
    <xf numFmtId="0" fontId="3" fillId="0" borderId="16" xfId="53" applyFont="1" applyFill="1" applyBorder="1" applyAlignment="1">
      <alignment horizontal="justify" vertical="center" wrapText="1"/>
      <protection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22" xfId="52" applyNumberFormat="1" applyFont="1" applyFill="1" applyBorder="1" applyAlignment="1">
      <alignment horizontal="justify" vertical="center" wrapText="1"/>
      <protection/>
    </xf>
    <xf numFmtId="176" fontId="3" fillId="0" borderId="20" xfId="52" applyNumberFormat="1" applyFont="1" applyFill="1" applyBorder="1" applyAlignment="1">
      <alignment horizontal="justify" vertical="center" wrapText="1"/>
      <protection/>
    </xf>
    <xf numFmtId="176" fontId="3" fillId="0" borderId="23" xfId="52" applyNumberFormat="1" applyFont="1" applyFill="1" applyBorder="1" applyAlignment="1">
      <alignment horizontal="justify" vertical="center" wrapText="1"/>
      <protection/>
    </xf>
    <xf numFmtId="176" fontId="3" fillId="0" borderId="26" xfId="52" applyNumberFormat="1" applyFont="1" applyFill="1" applyBorder="1" applyAlignment="1">
      <alignment horizontal="justify" vertical="center" wrapText="1"/>
      <protection/>
    </xf>
    <xf numFmtId="176" fontId="3" fillId="0" borderId="11" xfId="52" applyNumberFormat="1" applyFont="1" applyFill="1" applyBorder="1" applyAlignment="1">
      <alignment horizontal="justify" vertical="center" wrapText="1"/>
      <protection/>
    </xf>
    <xf numFmtId="176" fontId="3" fillId="0" borderId="27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4" fontId="4" fillId="0" borderId="12" xfId="52" applyNumberFormat="1" applyFont="1" applyFill="1" applyBorder="1" applyAlignment="1">
      <alignment horizontal="center" vertical="center"/>
      <protection/>
    </xf>
    <xf numFmtId="174" fontId="4" fillId="0" borderId="13" xfId="52" applyNumberFormat="1" applyFont="1" applyFill="1" applyBorder="1" applyAlignment="1">
      <alignment horizontal="center" vertical="center"/>
      <protection/>
    </xf>
    <xf numFmtId="174" fontId="4" fillId="0" borderId="28" xfId="52" applyNumberFormat="1" applyFont="1" applyFill="1" applyBorder="1" applyAlignment="1">
      <alignment horizontal="center" vertical="center" wrapText="1"/>
      <protection/>
    </xf>
    <xf numFmtId="174" fontId="4" fillId="0" borderId="17" xfId="52" applyNumberFormat="1" applyFont="1" applyFill="1" applyBorder="1" applyAlignment="1">
      <alignment horizontal="center" vertical="center" wrapText="1"/>
      <protection/>
    </xf>
    <xf numFmtId="174" fontId="4" fillId="0" borderId="29" xfId="52" applyNumberFormat="1" applyFont="1" applyFill="1" applyBorder="1" applyAlignment="1">
      <alignment horizontal="center" vertical="center" wrapText="1"/>
      <protection/>
    </xf>
    <xf numFmtId="174" fontId="4" fillId="0" borderId="30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174" fontId="4" fillId="0" borderId="31" xfId="52" applyNumberFormat="1" applyFont="1" applyFill="1" applyBorder="1" applyAlignment="1">
      <alignment horizontal="center" vertical="center"/>
      <protection/>
    </xf>
    <xf numFmtId="174" fontId="4" fillId="0" borderId="32" xfId="52" applyNumberFormat="1" applyFont="1" applyFill="1" applyBorder="1" applyAlignment="1">
      <alignment horizontal="center" vertical="center"/>
      <protection/>
    </xf>
    <xf numFmtId="174" fontId="4" fillId="0" borderId="28" xfId="52" applyNumberFormat="1" applyFont="1" applyFill="1" applyBorder="1" applyAlignment="1">
      <alignment horizontal="center" vertical="center"/>
      <protection/>
    </xf>
    <xf numFmtId="174" fontId="4" fillId="0" borderId="17" xfId="52" applyNumberFormat="1" applyFont="1" applyFill="1" applyBorder="1" applyAlignment="1">
      <alignment horizontal="center" vertical="center"/>
      <protection/>
    </xf>
    <xf numFmtId="173" fontId="4" fillId="0" borderId="12" xfId="52" applyNumberFormat="1" applyFont="1" applyFill="1" applyBorder="1" applyAlignment="1">
      <alignment horizontal="center" vertical="center" wrapText="1"/>
      <protection/>
    </xf>
    <xf numFmtId="173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49" fontId="4" fillId="0" borderId="28" xfId="52" applyNumberFormat="1" applyFont="1" applyFill="1" applyBorder="1" applyAlignment="1">
      <alignment horizontal="center" vertical="center" wrapText="1"/>
      <protection/>
    </xf>
    <xf numFmtId="49" fontId="4" fillId="0" borderId="17" xfId="52" applyNumberFormat="1" applyFont="1" applyFill="1" applyBorder="1" applyAlignment="1">
      <alignment horizontal="center" vertical="center" wrapText="1"/>
      <protection/>
    </xf>
    <xf numFmtId="176" fontId="4" fillId="0" borderId="33" xfId="52" applyNumberFormat="1" applyFont="1" applyFill="1" applyBorder="1" applyAlignment="1">
      <alignment horizontal="center" vertical="center" wrapText="1"/>
      <protection/>
    </xf>
    <xf numFmtId="176" fontId="4" fillId="0" borderId="34" xfId="52" applyNumberFormat="1" applyFont="1" applyFill="1" applyBorder="1" applyAlignment="1">
      <alignment horizontal="center" vertical="center" wrapText="1"/>
      <protection/>
    </xf>
    <xf numFmtId="176" fontId="8" fillId="0" borderId="28" xfId="52" applyNumberFormat="1" applyFont="1" applyFill="1" applyBorder="1" applyAlignment="1">
      <alignment horizontal="center" vertical="center" wrapText="1"/>
      <protection/>
    </xf>
    <xf numFmtId="176" fontId="8" fillId="0" borderId="17" xfId="52" applyNumberFormat="1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23" xfId="52" applyFont="1" applyFill="1" applyBorder="1" applyAlignment="1">
      <alignment horizontal="center" vertical="center"/>
      <protection/>
    </xf>
    <xf numFmtId="0" fontId="3" fillId="0" borderId="26" xfId="52" applyFont="1" applyFill="1" applyBorder="1" applyAlignment="1">
      <alignment horizontal="center" vertical="center"/>
      <protection/>
    </xf>
    <xf numFmtId="0" fontId="3" fillId="0" borderId="27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174" fontId="4" fillId="0" borderId="22" xfId="52" applyNumberFormat="1" applyFont="1" applyFill="1" applyBorder="1" applyAlignment="1">
      <alignment horizontal="left" vertical="center" wrapText="1"/>
      <protection/>
    </xf>
    <xf numFmtId="174" fontId="4" fillId="0" borderId="20" xfId="52" applyNumberFormat="1" applyFont="1" applyFill="1" applyBorder="1" applyAlignment="1">
      <alignment horizontal="left" vertical="center" wrapText="1"/>
      <protection/>
    </xf>
    <xf numFmtId="174" fontId="4" fillId="0" borderId="23" xfId="52" applyNumberFormat="1" applyFont="1" applyFill="1" applyBorder="1" applyAlignment="1">
      <alignment horizontal="left"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174" fontId="4" fillId="0" borderId="26" xfId="52" applyNumberFormat="1" applyFont="1" applyFill="1" applyBorder="1" applyAlignment="1">
      <alignment horizontal="left" vertical="center" wrapText="1"/>
      <protection/>
    </xf>
    <xf numFmtId="174" fontId="4" fillId="0" borderId="11" xfId="52" applyNumberFormat="1" applyFont="1" applyFill="1" applyBorder="1" applyAlignment="1">
      <alignment horizontal="left" vertical="center" wrapText="1"/>
      <protection/>
    </xf>
    <xf numFmtId="174" fontId="4" fillId="0" borderId="27" xfId="52" applyNumberFormat="1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/>
      <protection/>
    </xf>
    <xf numFmtId="174" fontId="4" fillId="0" borderId="11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Libro1" xfId="48"/>
    <cellStyle name="Currency" xfId="49"/>
    <cellStyle name="Currency [0]" xfId="50"/>
    <cellStyle name="Neutral" xfId="51"/>
    <cellStyle name="Normal 2" xfId="52"/>
    <cellStyle name="Normal 3" xfId="53"/>
    <cellStyle name="Normal 6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45"/>
  <sheetViews>
    <sheetView tabSelected="1" workbookViewId="0" topLeftCell="A1">
      <selection activeCell="A1" sqref="A1"/>
    </sheetView>
  </sheetViews>
  <sheetFormatPr defaultColWidth="11.421875" defaultRowHeight="15"/>
  <cols>
    <col min="1" max="1" width="4.421875" style="92" customWidth="1"/>
    <col min="2" max="2" width="18.57421875" style="37" customWidth="1"/>
    <col min="3" max="3" width="16.8515625" style="37" customWidth="1"/>
    <col min="4" max="4" width="15.57421875" style="37" customWidth="1"/>
    <col min="5" max="5" width="9.140625" style="92" customWidth="1"/>
    <col min="6" max="6" width="9.00390625" style="92" customWidth="1"/>
    <col min="7" max="7" width="19.28125" style="94" customWidth="1"/>
    <col min="8" max="8" width="5.28125" style="92" customWidth="1"/>
    <col min="9" max="9" width="6.7109375" style="37" customWidth="1"/>
    <col min="10" max="10" width="5.00390625" style="92" customWidth="1"/>
    <col min="11" max="11" width="10.7109375" style="95" customWidth="1"/>
    <col min="12" max="12" width="9.28125" style="37" customWidth="1"/>
    <col min="13" max="13" width="11.00390625" style="37" customWidth="1"/>
    <col min="14" max="14" width="7.57421875" style="37" bestFit="1" customWidth="1"/>
    <col min="15" max="15" width="10.28125" style="37" customWidth="1"/>
    <col min="16" max="16" width="10.28125" style="37" bestFit="1" customWidth="1"/>
    <col min="17" max="17" width="8.8515625" style="37" bestFit="1" customWidth="1"/>
    <col min="18" max="18" width="10.28125" style="37" bestFit="1" customWidth="1"/>
    <col min="19" max="19" width="11.28125" style="37" customWidth="1"/>
    <col min="20" max="20" width="9.7109375" style="37" customWidth="1"/>
    <col min="21" max="21" width="12.28125" style="37" customWidth="1"/>
    <col min="22" max="22" width="12.421875" style="96" customWidth="1"/>
    <col min="23" max="23" width="12.8515625" style="92" customWidth="1"/>
    <col min="24" max="24" width="11.421875" style="37" bestFit="1" customWidth="1"/>
    <col min="25" max="16384" width="11.421875" style="37" customWidth="1"/>
  </cols>
  <sheetData>
    <row r="1" spans="1:24" s="12" customFormat="1" ht="12.75" thickBot="1">
      <c r="A1" s="1"/>
      <c r="B1" s="2"/>
      <c r="C1" s="2"/>
      <c r="D1" s="3"/>
      <c r="E1" s="1"/>
      <c r="F1" s="4"/>
      <c r="G1" s="5"/>
      <c r="H1" s="1"/>
      <c r="I1" s="6"/>
      <c r="J1" s="1"/>
      <c r="K1" s="1"/>
      <c r="L1" s="1"/>
      <c r="M1" s="1"/>
      <c r="N1" s="7"/>
      <c r="O1" s="8"/>
      <c r="P1" s="8"/>
      <c r="Q1" s="9"/>
      <c r="R1" s="10"/>
      <c r="S1" s="10"/>
      <c r="T1" s="10"/>
      <c r="U1" s="10"/>
      <c r="V1" s="11"/>
      <c r="W1" s="10"/>
      <c r="X1" s="9"/>
    </row>
    <row r="2" spans="1:24" s="12" customFormat="1" ht="33" customHeight="1">
      <c r="A2" s="204"/>
      <c r="B2" s="205"/>
      <c r="C2" s="208" t="s">
        <v>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11" t="s">
        <v>1</v>
      </c>
      <c r="W2" s="212"/>
      <c r="X2" s="213"/>
    </row>
    <row r="3" spans="1:24" s="12" customFormat="1" ht="28.5" customHeight="1" thickBot="1">
      <c r="A3" s="206"/>
      <c r="B3" s="207"/>
      <c r="C3" s="214" t="s">
        <v>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217" t="s">
        <v>3</v>
      </c>
      <c r="W3" s="218"/>
      <c r="X3" s="219"/>
    </row>
    <row r="4" spans="1:24" s="12" customFormat="1" ht="12">
      <c r="A4" s="13"/>
      <c r="B4" s="14"/>
      <c r="C4" s="15"/>
      <c r="D4" s="16"/>
      <c r="E4" s="17"/>
      <c r="F4" s="17"/>
      <c r="G4" s="18"/>
      <c r="H4" s="17"/>
      <c r="I4" s="19"/>
      <c r="J4" s="20"/>
      <c r="K4" s="20"/>
      <c r="L4" s="20"/>
      <c r="M4" s="20"/>
      <c r="N4" s="17"/>
      <c r="O4" s="17"/>
      <c r="P4" s="21"/>
      <c r="Q4" s="22"/>
      <c r="R4" s="22"/>
      <c r="S4" s="22"/>
      <c r="T4" s="10"/>
      <c r="U4" s="10"/>
      <c r="V4" s="11"/>
      <c r="W4" s="10"/>
      <c r="X4" s="9"/>
    </row>
    <row r="5" spans="1:24" s="12" customFormat="1" ht="12.75" customHeight="1" thickBot="1">
      <c r="A5" s="220" t="s">
        <v>4</v>
      </c>
      <c r="B5" s="220"/>
      <c r="C5" s="142" t="s">
        <v>5</v>
      </c>
      <c r="D5" s="142"/>
      <c r="E5" s="142"/>
      <c r="F5" s="142"/>
      <c r="G5" s="142"/>
      <c r="H5" s="13"/>
      <c r="I5" s="23"/>
      <c r="J5" s="13"/>
      <c r="K5" s="13"/>
      <c r="L5" s="13"/>
      <c r="M5" s="13"/>
      <c r="N5" s="24"/>
      <c r="O5" s="17"/>
      <c r="P5" s="8"/>
      <c r="Q5" s="9"/>
      <c r="R5" s="10"/>
      <c r="S5" s="10"/>
      <c r="T5" s="10"/>
      <c r="U5" s="25"/>
      <c r="V5" s="221" t="s">
        <v>6</v>
      </c>
      <c r="W5" s="221"/>
      <c r="X5" s="221"/>
    </row>
    <row r="6" spans="1:24" s="12" customFormat="1" ht="12.75" thickBot="1">
      <c r="A6" s="13"/>
      <c r="B6" s="14"/>
      <c r="C6" s="15"/>
      <c r="D6" s="16"/>
      <c r="E6" s="17"/>
      <c r="F6" s="17"/>
      <c r="G6" s="15"/>
      <c r="H6" s="17"/>
      <c r="I6" s="19"/>
      <c r="J6" s="20"/>
      <c r="K6" s="20"/>
      <c r="L6" s="20"/>
      <c r="M6" s="20"/>
      <c r="N6" s="17"/>
      <c r="O6" s="17"/>
      <c r="P6" s="21"/>
      <c r="Q6" s="22"/>
      <c r="R6" s="22"/>
      <c r="S6" s="22"/>
      <c r="T6" s="10"/>
      <c r="U6" s="10"/>
      <c r="V6" s="11"/>
      <c r="W6" s="10"/>
      <c r="X6" s="9"/>
    </row>
    <row r="7" spans="1:24" s="12" customFormat="1" ht="18" customHeight="1" thickBot="1">
      <c r="A7" s="198" t="s">
        <v>7</v>
      </c>
      <c r="B7" s="200" t="s">
        <v>8</v>
      </c>
      <c r="C7" s="200" t="s">
        <v>9</v>
      </c>
      <c r="D7" s="202" t="s">
        <v>10</v>
      </c>
      <c r="E7" s="192" t="s">
        <v>11</v>
      </c>
      <c r="F7" s="190" t="s">
        <v>12</v>
      </c>
      <c r="G7" s="188" t="s">
        <v>13</v>
      </c>
      <c r="H7" s="190" t="s">
        <v>14</v>
      </c>
      <c r="I7" s="192" t="s">
        <v>15</v>
      </c>
      <c r="J7" s="194" t="s">
        <v>16</v>
      </c>
      <c r="K7" s="196" t="s">
        <v>17</v>
      </c>
      <c r="L7" s="182" t="s">
        <v>18</v>
      </c>
      <c r="M7" s="182" t="s">
        <v>19</v>
      </c>
      <c r="N7" s="184" t="s">
        <v>20</v>
      </c>
      <c r="O7" s="185"/>
      <c r="P7" s="186" t="s">
        <v>21</v>
      </c>
      <c r="Q7" s="186" t="s">
        <v>22</v>
      </c>
      <c r="R7" s="186" t="s">
        <v>23</v>
      </c>
      <c r="S7" s="178" t="s">
        <v>24</v>
      </c>
      <c r="T7" s="176" t="s">
        <v>25</v>
      </c>
      <c r="U7" s="176" t="s">
        <v>26</v>
      </c>
      <c r="V7" s="178" t="s">
        <v>27</v>
      </c>
      <c r="W7" s="176" t="s">
        <v>28</v>
      </c>
      <c r="X7" s="176" t="s">
        <v>29</v>
      </c>
    </row>
    <row r="8" spans="1:24" s="12" customFormat="1" ht="34.5" customHeight="1" thickBot="1">
      <c r="A8" s="199"/>
      <c r="B8" s="201"/>
      <c r="C8" s="201"/>
      <c r="D8" s="203"/>
      <c r="E8" s="193"/>
      <c r="F8" s="191"/>
      <c r="G8" s="189"/>
      <c r="H8" s="191"/>
      <c r="I8" s="193"/>
      <c r="J8" s="195"/>
      <c r="K8" s="197"/>
      <c r="L8" s="183"/>
      <c r="M8" s="183"/>
      <c r="N8" s="26" t="s">
        <v>30</v>
      </c>
      <c r="O8" s="27" t="s">
        <v>31</v>
      </c>
      <c r="P8" s="187"/>
      <c r="Q8" s="187"/>
      <c r="R8" s="187"/>
      <c r="S8" s="179"/>
      <c r="T8" s="177"/>
      <c r="U8" s="177"/>
      <c r="V8" s="179"/>
      <c r="W8" s="177"/>
      <c r="X8" s="177"/>
    </row>
    <row r="9" spans="1:24" ht="95.25" customHeight="1" thickBot="1">
      <c r="A9" s="164">
        <v>1</v>
      </c>
      <c r="B9" s="29" t="s">
        <v>32</v>
      </c>
      <c r="C9" s="167" t="s">
        <v>33</v>
      </c>
      <c r="D9" s="167" t="s">
        <v>34</v>
      </c>
      <c r="E9" s="28" t="s">
        <v>35</v>
      </c>
      <c r="F9" s="169" t="s">
        <v>36</v>
      </c>
      <c r="G9" s="180" t="s">
        <v>37</v>
      </c>
      <c r="H9" s="165" t="s">
        <v>38</v>
      </c>
      <c r="I9" s="166" t="s">
        <v>39</v>
      </c>
      <c r="J9" s="28">
        <v>10</v>
      </c>
      <c r="K9" s="118" t="s">
        <v>40</v>
      </c>
      <c r="L9" s="112" t="s">
        <v>41</v>
      </c>
      <c r="M9" s="112" t="s">
        <v>42</v>
      </c>
      <c r="N9" s="174" t="s">
        <v>43</v>
      </c>
      <c r="O9" s="110">
        <v>70000</v>
      </c>
      <c r="P9" s="110">
        <v>0</v>
      </c>
      <c r="Q9" s="110">
        <v>20000</v>
      </c>
      <c r="R9" s="110">
        <f>106758*0.5</f>
        <v>53379</v>
      </c>
      <c r="S9" s="102">
        <f>+O9+P9+Q9+R9</f>
        <v>143379</v>
      </c>
      <c r="T9" s="110">
        <v>0</v>
      </c>
      <c r="U9" s="35">
        <f>154000*0.5</f>
        <v>77000</v>
      </c>
      <c r="V9" s="36">
        <f>(10*24000)+(10*12000)</f>
        <v>360000</v>
      </c>
      <c r="W9" s="102">
        <f>77000+77000+V9+V10+S9</f>
        <v>897379</v>
      </c>
      <c r="X9" s="127" t="s">
        <v>43</v>
      </c>
    </row>
    <row r="10" spans="1:24" ht="93" customHeight="1" thickBot="1">
      <c r="A10" s="164"/>
      <c r="B10" s="29" t="s">
        <v>44</v>
      </c>
      <c r="C10" s="167"/>
      <c r="D10" s="167"/>
      <c r="E10" s="28" t="s">
        <v>45</v>
      </c>
      <c r="F10" s="169"/>
      <c r="G10" s="181"/>
      <c r="H10" s="165"/>
      <c r="I10" s="166"/>
      <c r="J10" s="28">
        <v>20</v>
      </c>
      <c r="K10" s="119"/>
      <c r="L10" s="113"/>
      <c r="M10" s="113"/>
      <c r="N10" s="175"/>
      <c r="O10" s="111"/>
      <c r="P10" s="111"/>
      <c r="Q10" s="111"/>
      <c r="R10" s="111"/>
      <c r="S10" s="103"/>
      <c r="T10" s="111"/>
      <c r="U10" s="35">
        <f>154000*0.5</f>
        <v>77000</v>
      </c>
      <c r="V10" s="36">
        <f>20*12000</f>
        <v>240000</v>
      </c>
      <c r="W10" s="103"/>
      <c r="X10" s="129"/>
    </row>
    <row r="11" spans="1:24" s="12" customFormat="1" ht="75.75" customHeight="1" thickBot="1">
      <c r="A11" s="172">
        <v>2</v>
      </c>
      <c r="B11" s="29" t="s">
        <v>46</v>
      </c>
      <c r="C11" s="146" t="s">
        <v>47</v>
      </c>
      <c r="D11" s="146" t="s">
        <v>48</v>
      </c>
      <c r="E11" s="28" t="s">
        <v>49</v>
      </c>
      <c r="F11" s="156" t="s">
        <v>50</v>
      </c>
      <c r="G11" s="146" t="s">
        <v>51</v>
      </c>
      <c r="H11" s="112" t="s">
        <v>52</v>
      </c>
      <c r="I11" s="156" t="s">
        <v>53</v>
      </c>
      <c r="J11" s="28">
        <v>24</v>
      </c>
      <c r="K11" s="110" t="s">
        <v>40</v>
      </c>
      <c r="L11" s="112" t="s">
        <v>54</v>
      </c>
      <c r="M11" s="112" t="s">
        <v>55</v>
      </c>
      <c r="N11" s="174" t="s">
        <v>43</v>
      </c>
      <c r="O11" s="110">
        <v>190000</v>
      </c>
      <c r="P11" s="110">
        <v>18000</v>
      </c>
      <c r="Q11" s="110">
        <v>30000</v>
      </c>
      <c r="R11" s="110">
        <f>106758*0.5</f>
        <v>53379</v>
      </c>
      <c r="S11" s="102">
        <f>+O11+P11+Q11+R11</f>
        <v>291379</v>
      </c>
      <c r="T11" s="110">
        <v>0</v>
      </c>
      <c r="U11" s="35">
        <f>154000*0.5</f>
        <v>77000</v>
      </c>
      <c r="V11" s="43">
        <f>24*12000</f>
        <v>288000</v>
      </c>
      <c r="W11" s="102">
        <f>+V11+V12+77000+77000+S11</f>
        <v>1107379</v>
      </c>
      <c r="X11" s="102" t="s">
        <v>43</v>
      </c>
    </row>
    <row r="12" spans="1:24" s="12" customFormat="1" ht="74.25" customHeight="1" thickBot="1">
      <c r="A12" s="173"/>
      <c r="B12" s="44" t="s">
        <v>56</v>
      </c>
      <c r="C12" s="147"/>
      <c r="D12" s="147"/>
      <c r="E12" s="28" t="s">
        <v>57</v>
      </c>
      <c r="F12" s="157"/>
      <c r="G12" s="147"/>
      <c r="H12" s="113"/>
      <c r="I12" s="157"/>
      <c r="J12" s="28">
        <v>11</v>
      </c>
      <c r="K12" s="111"/>
      <c r="L12" s="113"/>
      <c r="M12" s="113"/>
      <c r="N12" s="175"/>
      <c r="O12" s="111"/>
      <c r="P12" s="111"/>
      <c r="Q12" s="111"/>
      <c r="R12" s="111"/>
      <c r="S12" s="103"/>
      <c r="T12" s="111"/>
      <c r="U12" s="35">
        <f>154000*0.5</f>
        <v>77000</v>
      </c>
      <c r="V12" s="35">
        <f>(11*12000)+(11*22000)</f>
        <v>374000</v>
      </c>
      <c r="W12" s="103"/>
      <c r="X12" s="103"/>
    </row>
    <row r="13" spans="1:24" ht="90" customHeight="1" thickBot="1">
      <c r="A13" s="28">
        <v>3</v>
      </c>
      <c r="B13" s="45" t="s">
        <v>58</v>
      </c>
      <c r="C13" s="29" t="s">
        <v>59</v>
      </c>
      <c r="D13" s="41" t="s">
        <v>60</v>
      </c>
      <c r="E13" s="28" t="s">
        <v>61</v>
      </c>
      <c r="F13" s="33" t="s">
        <v>62</v>
      </c>
      <c r="G13" s="46" t="s">
        <v>63</v>
      </c>
      <c r="H13" s="33" t="s">
        <v>64</v>
      </c>
      <c r="I13" s="30" t="s">
        <v>65</v>
      </c>
      <c r="J13" s="33">
        <v>15</v>
      </c>
      <c r="K13" s="47" t="s">
        <v>40</v>
      </c>
      <c r="L13" s="48" t="s">
        <v>66</v>
      </c>
      <c r="M13" s="48" t="s">
        <v>67</v>
      </c>
      <c r="N13" s="36" t="s">
        <v>43</v>
      </c>
      <c r="O13" s="35">
        <v>450000</v>
      </c>
      <c r="P13" s="35">
        <v>60000</v>
      </c>
      <c r="Q13" s="35">
        <v>60000</v>
      </c>
      <c r="R13" s="35">
        <f>106758*1.5</f>
        <v>160137</v>
      </c>
      <c r="S13" s="49">
        <f>+O13+P13+Q13+R13</f>
        <v>730137</v>
      </c>
      <c r="T13" s="35">
        <v>0</v>
      </c>
      <c r="U13" s="35">
        <f>154000*1.5</f>
        <v>231000</v>
      </c>
      <c r="V13" s="35">
        <f>+(15*24000)+(800000)</f>
        <v>1160000</v>
      </c>
      <c r="W13" s="49">
        <f>+V13+231000+S13</f>
        <v>2121137</v>
      </c>
      <c r="X13" s="36" t="s">
        <v>43</v>
      </c>
    </row>
    <row r="14" spans="1:24" ht="122.25" customHeight="1" thickBot="1">
      <c r="A14" s="28">
        <v>4</v>
      </c>
      <c r="B14" s="29" t="s">
        <v>353</v>
      </c>
      <c r="C14" s="29" t="s">
        <v>68</v>
      </c>
      <c r="D14" s="29" t="s">
        <v>69</v>
      </c>
      <c r="E14" s="50" t="s">
        <v>70</v>
      </c>
      <c r="F14" s="28" t="s">
        <v>71</v>
      </c>
      <c r="G14" s="29" t="s">
        <v>72</v>
      </c>
      <c r="H14" s="28" t="s">
        <v>73</v>
      </c>
      <c r="I14" s="28" t="s">
        <v>74</v>
      </c>
      <c r="J14" s="48">
        <v>37</v>
      </c>
      <c r="K14" s="104" t="s">
        <v>75</v>
      </c>
      <c r="L14" s="105"/>
      <c r="M14" s="105"/>
      <c r="N14" s="105"/>
      <c r="O14" s="105"/>
      <c r="P14" s="105"/>
      <c r="Q14" s="105"/>
      <c r="R14" s="105"/>
      <c r="S14" s="106"/>
      <c r="T14" s="35">
        <v>0</v>
      </c>
      <c r="U14" s="35">
        <f>154000*0.5</f>
        <v>77000</v>
      </c>
      <c r="V14" s="36">
        <f>(37*12000)+(37*11000)+2000000</f>
        <v>2851000</v>
      </c>
      <c r="W14" s="49">
        <f>77000+V14</f>
        <v>2928000</v>
      </c>
      <c r="X14" s="36" t="s">
        <v>43</v>
      </c>
    </row>
    <row r="15" spans="1:24" ht="108" customHeight="1" thickBot="1">
      <c r="A15" s="28">
        <v>5</v>
      </c>
      <c r="B15" s="29" t="s">
        <v>76</v>
      </c>
      <c r="C15" s="29" t="s">
        <v>77</v>
      </c>
      <c r="D15" s="29" t="s">
        <v>78</v>
      </c>
      <c r="E15" s="28" t="s">
        <v>79</v>
      </c>
      <c r="F15" s="28" t="s">
        <v>80</v>
      </c>
      <c r="G15" s="29" t="s">
        <v>81</v>
      </c>
      <c r="H15" s="28" t="s">
        <v>82</v>
      </c>
      <c r="I15" s="28" t="s">
        <v>74</v>
      </c>
      <c r="J15" s="28">
        <v>27</v>
      </c>
      <c r="K15" s="104" t="s">
        <v>83</v>
      </c>
      <c r="L15" s="105"/>
      <c r="M15" s="105"/>
      <c r="N15" s="105"/>
      <c r="O15" s="105"/>
      <c r="P15" s="105"/>
      <c r="Q15" s="105"/>
      <c r="R15" s="105"/>
      <c r="S15" s="106"/>
      <c r="T15" s="35">
        <v>0</v>
      </c>
      <c r="U15" s="35">
        <f>154000*0.5</f>
        <v>77000</v>
      </c>
      <c r="V15" s="35">
        <f>(27*12000)+(27*24000)</f>
        <v>972000</v>
      </c>
      <c r="W15" s="49">
        <f>+S15+T15+U15+V15</f>
        <v>1049000</v>
      </c>
      <c r="X15" s="47" t="s">
        <v>43</v>
      </c>
    </row>
    <row r="16" spans="1:24" ht="113.25" customHeight="1" thickBot="1">
      <c r="A16" s="112">
        <v>6</v>
      </c>
      <c r="B16" s="146" t="s">
        <v>84</v>
      </c>
      <c r="C16" s="146" t="s">
        <v>85</v>
      </c>
      <c r="D16" s="146" t="s">
        <v>60</v>
      </c>
      <c r="E16" s="28" t="s">
        <v>86</v>
      </c>
      <c r="F16" s="112" t="s">
        <v>87</v>
      </c>
      <c r="G16" s="146" t="s">
        <v>88</v>
      </c>
      <c r="H16" s="112" t="s">
        <v>89</v>
      </c>
      <c r="I16" s="156" t="s">
        <v>65</v>
      </c>
      <c r="J16" s="48">
        <v>18</v>
      </c>
      <c r="K16" s="112" t="s">
        <v>40</v>
      </c>
      <c r="L16" s="124" t="s">
        <v>90</v>
      </c>
      <c r="M16" s="112" t="s">
        <v>91</v>
      </c>
      <c r="N16" s="112" t="s">
        <v>43</v>
      </c>
      <c r="O16" s="124">
        <v>1000000</v>
      </c>
      <c r="P16" s="124">
        <v>180000</v>
      </c>
      <c r="Q16" s="124">
        <v>150000</v>
      </c>
      <c r="R16" s="124">
        <f>106758*4.5</f>
        <v>480411</v>
      </c>
      <c r="S16" s="102">
        <f>+O16+P16+Q16+R16</f>
        <v>1810411</v>
      </c>
      <c r="T16" s="124">
        <v>0</v>
      </c>
      <c r="U16" s="110">
        <f>154000*4.5</f>
        <v>693000</v>
      </c>
      <c r="V16" s="35">
        <f>(18*6000)+(18*60000)</f>
        <v>1188000</v>
      </c>
      <c r="W16" s="102">
        <f>+V16+V17+693000+S16</f>
        <v>4420411</v>
      </c>
      <c r="X16" s="36" t="s">
        <v>43</v>
      </c>
    </row>
    <row r="17" spans="1:24" ht="106.5" customHeight="1" thickBot="1">
      <c r="A17" s="113"/>
      <c r="B17" s="147"/>
      <c r="C17" s="147"/>
      <c r="D17" s="147"/>
      <c r="E17" s="28" t="s">
        <v>92</v>
      </c>
      <c r="F17" s="113"/>
      <c r="G17" s="147"/>
      <c r="H17" s="113"/>
      <c r="I17" s="157"/>
      <c r="J17" s="48">
        <v>9</v>
      </c>
      <c r="K17" s="113"/>
      <c r="L17" s="125"/>
      <c r="M17" s="113"/>
      <c r="N17" s="113"/>
      <c r="O17" s="125"/>
      <c r="P17" s="125"/>
      <c r="Q17" s="125"/>
      <c r="R17" s="125"/>
      <c r="S17" s="103"/>
      <c r="T17" s="125"/>
      <c r="U17" s="111"/>
      <c r="V17" s="35">
        <f>(9*6000)+(9*60000)+(9*15000)</f>
        <v>729000</v>
      </c>
      <c r="W17" s="103"/>
      <c r="X17" s="36" t="s">
        <v>43</v>
      </c>
    </row>
    <row r="18" spans="1:24" ht="71.25" customHeight="1" thickBot="1">
      <c r="A18" s="28">
        <v>7</v>
      </c>
      <c r="B18" s="29" t="s">
        <v>93</v>
      </c>
      <c r="C18" s="29" t="s">
        <v>68</v>
      </c>
      <c r="D18" s="29" t="s">
        <v>69</v>
      </c>
      <c r="E18" s="50" t="s">
        <v>94</v>
      </c>
      <c r="F18" s="28" t="s">
        <v>95</v>
      </c>
      <c r="G18" s="51" t="s">
        <v>96</v>
      </c>
      <c r="H18" s="28" t="s">
        <v>97</v>
      </c>
      <c r="I18" s="52" t="s">
        <v>74</v>
      </c>
      <c r="J18" s="48">
        <v>50</v>
      </c>
      <c r="K18" s="107" t="s">
        <v>98</v>
      </c>
      <c r="L18" s="108"/>
      <c r="M18" s="108"/>
      <c r="N18" s="108"/>
      <c r="O18" s="108"/>
      <c r="P18" s="108"/>
      <c r="Q18" s="108"/>
      <c r="R18" s="108"/>
      <c r="S18" s="108"/>
      <c r="T18" s="35">
        <v>0</v>
      </c>
      <c r="U18" s="35">
        <f>154000*1.5</f>
        <v>231000</v>
      </c>
      <c r="V18" s="36">
        <f>(50*24000)+(50*22000)</f>
        <v>2300000</v>
      </c>
      <c r="W18" s="49">
        <f>231000+V18+S18</f>
        <v>2531000</v>
      </c>
      <c r="X18" s="36" t="s">
        <v>43</v>
      </c>
    </row>
    <row r="19" spans="1:24" ht="60.75" thickBot="1">
      <c r="A19" s="28">
        <v>8</v>
      </c>
      <c r="B19" s="29" t="s">
        <v>99</v>
      </c>
      <c r="C19" s="41" t="s">
        <v>100</v>
      </c>
      <c r="D19" s="41" t="s">
        <v>34</v>
      </c>
      <c r="E19" s="28" t="s">
        <v>101</v>
      </c>
      <c r="F19" s="42" t="s">
        <v>102</v>
      </c>
      <c r="G19" s="33" t="s">
        <v>103</v>
      </c>
      <c r="H19" s="53" t="s">
        <v>104</v>
      </c>
      <c r="I19" s="54" t="s">
        <v>105</v>
      </c>
      <c r="J19" s="28">
        <v>25</v>
      </c>
      <c r="K19" s="107" t="s">
        <v>106</v>
      </c>
      <c r="L19" s="108"/>
      <c r="M19" s="108"/>
      <c r="N19" s="108"/>
      <c r="O19" s="108"/>
      <c r="P19" s="108"/>
      <c r="Q19" s="108"/>
      <c r="R19" s="108"/>
      <c r="S19" s="109"/>
      <c r="T19" s="55">
        <v>0</v>
      </c>
      <c r="U19" s="35">
        <f>154000*0.5</f>
        <v>77000</v>
      </c>
      <c r="V19" s="36">
        <f>25*12000</f>
        <v>300000</v>
      </c>
      <c r="W19" s="49">
        <f>77000+V19</f>
        <v>377000</v>
      </c>
      <c r="X19" s="36" t="s">
        <v>43</v>
      </c>
    </row>
    <row r="20" spans="1:24" s="12" customFormat="1" ht="71.25" customHeight="1" thickBot="1">
      <c r="A20" s="112">
        <v>9</v>
      </c>
      <c r="B20" s="45" t="s">
        <v>107</v>
      </c>
      <c r="C20" s="146" t="s">
        <v>108</v>
      </c>
      <c r="D20" s="146" t="s">
        <v>109</v>
      </c>
      <c r="E20" s="112" t="s">
        <v>110</v>
      </c>
      <c r="F20" s="112" t="s">
        <v>111</v>
      </c>
      <c r="G20" s="146" t="s">
        <v>112</v>
      </c>
      <c r="H20" s="112" t="s">
        <v>113</v>
      </c>
      <c r="I20" s="156" t="s">
        <v>114</v>
      </c>
      <c r="J20" s="112">
        <v>32</v>
      </c>
      <c r="K20" s="158" t="s">
        <v>115</v>
      </c>
      <c r="L20" s="159"/>
      <c r="M20" s="159"/>
      <c r="N20" s="159"/>
      <c r="O20" s="159"/>
      <c r="P20" s="159"/>
      <c r="Q20" s="159"/>
      <c r="R20" s="159"/>
      <c r="S20" s="159"/>
      <c r="T20" s="124">
        <v>0</v>
      </c>
      <c r="U20" s="35">
        <f>154000*3.5</f>
        <v>539000</v>
      </c>
      <c r="V20" s="102">
        <f>32*48000</f>
        <v>1536000</v>
      </c>
      <c r="W20" s="102">
        <f>539000+539000+V20</f>
        <v>2614000</v>
      </c>
      <c r="X20" s="102" t="s">
        <v>43</v>
      </c>
    </row>
    <row r="21" spans="1:24" s="12" customFormat="1" ht="70.5" customHeight="1" thickBot="1">
      <c r="A21" s="113"/>
      <c r="B21" s="29" t="s">
        <v>116</v>
      </c>
      <c r="C21" s="147"/>
      <c r="D21" s="147"/>
      <c r="E21" s="113"/>
      <c r="F21" s="113"/>
      <c r="G21" s="147"/>
      <c r="H21" s="113"/>
      <c r="I21" s="157"/>
      <c r="J21" s="113"/>
      <c r="K21" s="161"/>
      <c r="L21" s="162"/>
      <c r="M21" s="162"/>
      <c r="N21" s="162"/>
      <c r="O21" s="162"/>
      <c r="P21" s="162"/>
      <c r="Q21" s="162"/>
      <c r="R21" s="162"/>
      <c r="S21" s="162"/>
      <c r="T21" s="125"/>
      <c r="U21" s="35">
        <f>154000*3.5</f>
        <v>539000</v>
      </c>
      <c r="V21" s="103"/>
      <c r="W21" s="103"/>
      <c r="X21" s="103"/>
    </row>
    <row r="22" spans="1:24" s="56" customFormat="1" ht="60.75" thickBot="1">
      <c r="A22" s="38">
        <v>10</v>
      </c>
      <c r="B22" s="29" t="s">
        <v>117</v>
      </c>
      <c r="C22" s="29" t="s">
        <v>100</v>
      </c>
      <c r="D22" s="29" t="s">
        <v>34</v>
      </c>
      <c r="E22" s="28" t="s">
        <v>118</v>
      </c>
      <c r="F22" s="30" t="s">
        <v>119</v>
      </c>
      <c r="G22" s="29" t="s">
        <v>120</v>
      </c>
      <c r="H22" s="31" t="s">
        <v>121</v>
      </c>
      <c r="I22" s="32" t="s">
        <v>105</v>
      </c>
      <c r="J22" s="28">
        <v>15</v>
      </c>
      <c r="K22" s="104" t="s">
        <v>122</v>
      </c>
      <c r="L22" s="105"/>
      <c r="M22" s="105"/>
      <c r="N22" s="105"/>
      <c r="O22" s="105"/>
      <c r="P22" s="105"/>
      <c r="Q22" s="105"/>
      <c r="R22" s="105"/>
      <c r="S22" s="106"/>
      <c r="T22" s="55">
        <v>0</v>
      </c>
      <c r="U22" s="35">
        <f>154000*0.5</f>
        <v>77000</v>
      </c>
      <c r="V22" s="36">
        <f>+(15*12000)+200000</f>
        <v>380000</v>
      </c>
      <c r="W22" s="49">
        <f>380000+77000</f>
        <v>457000</v>
      </c>
      <c r="X22" s="28" t="s">
        <v>43</v>
      </c>
    </row>
    <row r="23" spans="1:24" s="12" customFormat="1" ht="89.25" customHeight="1" thickBot="1">
      <c r="A23" s="28">
        <v>11</v>
      </c>
      <c r="B23" s="29" t="s">
        <v>123</v>
      </c>
      <c r="C23" s="29" t="s">
        <v>124</v>
      </c>
      <c r="D23" s="57" t="s">
        <v>48</v>
      </c>
      <c r="E23" s="28" t="s">
        <v>125</v>
      </c>
      <c r="F23" s="30" t="s">
        <v>126</v>
      </c>
      <c r="G23" s="29" t="s">
        <v>127</v>
      </c>
      <c r="H23" s="28" t="s">
        <v>52</v>
      </c>
      <c r="I23" s="30" t="s">
        <v>128</v>
      </c>
      <c r="J23" s="28">
        <v>14</v>
      </c>
      <c r="K23" s="107" t="s">
        <v>129</v>
      </c>
      <c r="L23" s="108"/>
      <c r="M23" s="108"/>
      <c r="N23" s="108"/>
      <c r="O23" s="108"/>
      <c r="P23" s="108"/>
      <c r="Q23" s="108"/>
      <c r="R23" s="108"/>
      <c r="S23" s="109"/>
      <c r="T23" s="35">
        <v>0</v>
      </c>
      <c r="U23" s="35">
        <f>154000*0.5</f>
        <v>77000</v>
      </c>
      <c r="V23" s="43">
        <f>14*12000</f>
        <v>168000</v>
      </c>
      <c r="W23" s="34">
        <f>+V23+77000</f>
        <v>245000</v>
      </c>
      <c r="X23" s="34" t="s">
        <v>43</v>
      </c>
    </row>
    <row r="24" spans="1:24" ht="56.25" customHeight="1" thickBot="1">
      <c r="A24" s="112">
        <v>12</v>
      </c>
      <c r="B24" s="146" t="s">
        <v>58</v>
      </c>
      <c r="C24" s="112" t="s">
        <v>130</v>
      </c>
      <c r="D24" s="146" t="s">
        <v>60</v>
      </c>
      <c r="E24" s="28" t="s">
        <v>131</v>
      </c>
      <c r="F24" s="112" t="s">
        <v>132</v>
      </c>
      <c r="G24" s="146" t="s">
        <v>63</v>
      </c>
      <c r="H24" s="112" t="s">
        <v>64</v>
      </c>
      <c r="I24" s="156" t="s">
        <v>65</v>
      </c>
      <c r="J24" s="33">
        <v>15</v>
      </c>
      <c r="K24" s="112" t="s">
        <v>40</v>
      </c>
      <c r="L24" s="112" t="s">
        <v>133</v>
      </c>
      <c r="M24" s="112" t="s">
        <v>134</v>
      </c>
      <c r="N24" s="112" t="s">
        <v>43</v>
      </c>
      <c r="O24" s="149">
        <v>450000</v>
      </c>
      <c r="P24" s="149">
        <v>60000</v>
      </c>
      <c r="Q24" s="149">
        <v>60000</v>
      </c>
      <c r="R24" s="149">
        <f>106758*1.5</f>
        <v>160137</v>
      </c>
      <c r="S24" s="102">
        <v>730137</v>
      </c>
      <c r="T24" s="124">
        <v>0</v>
      </c>
      <c r="U24" s="124">
        <f>154000*1.5</f>
        <v>231000</v>
      </c>
      <c r="V24" s="35">
        <f>(15*24000)+(800000)</f>
        <v>1160000</v>
      </c>
      <c r="W24" s="102">
        <f>231000+V25+V24+S24</f>
        <v>2472137</v>
      </c>
      <c r="X24" s="127" t="s">
        <v>43</v>
      </c>
    </row>
    <row r="25" spans="1:24" ht="70.5" customHeight="1" thickBot="1">
      <c r="A25" s="113"/>
      <c r="B25" s="147"/>
      <c r="C25" s="113"/>
      <c r="D25" s="147"/>
      <c r="E25" s="28" t="s">
        <v>135</v>
      </c>
      <c r="F25" s="113"/>
      <c r="G25" s="147"/>
      <c r="H25" s="113"/>
      <c r="I25" s="157"/>
      <c r="J25" s="28">
        <v>9</v>
      </c>
      <c r="K25" s="113"/>
      <c r="L25" s="113"/>
      <c r="M25" s="113"/>
      <c r="N25" s="113"/>
      <c r="O25" s="150"/>
      <c r="P25" s="150"/>
      <c r="Q25" s="150"/>
      <c r="R25" s="150"/>
      <c r="S25" s="103"/>
      <c r="T25" s="125"/>
      <c r="U25" s="125"/>
      <c r="V25" s="35">
        <f>(9*24000)+(9*15000)</f>
        <v>351000</v>
      </c>
      <c r="W25" s="103"/>
      <c r="X25" s="129"/>
    </row>
    <row r="26" spans="1:24" s="12" customFormat="1" ht="60" customHeight="1" thickBot="1">
      <c r="A26" s="172">
        <v>13</v>
      </c>
      <c r="B26" s="29" t="s">
        <v>136</v>
      </c>
      <c r="C26" s="146" t="s">
        <v>137</v>
      </c>
      <c r="D26" s="146" t="s">
        <v>109</v>
      </c>
      <c r="E26" s="156" t="s">
        <v>138</v>
      </c>
      <c r="F26" s="156" t="s">
        <v>132</v>
      </c>
      <c r="G26" s="146" t="s">
        <v>139</v>
      </c>
      <c r="H26" s="112" t="s">
        <v>140</v>
      </c>
      <c r="I26" s="156" t="s">
        <v>53</v>
      </c>
      <c r="J26" s="112">
        <v>55</v>
      </c>
      <c r="K26" s="158" t="s">
        <v>141</v>
      </c>
      <c r="L26" s="159"/>
      <c r="M26" s="159"/>
      <c r="N26" s="159"/>
      <c r="O26" s="159"/>
      <c r="P26" s="159"/>
      <c r="Q26" s="159"/>
      <c r="R26" s="159"/>
      <c r="S26" s="160"/>
      <c r="T26" s="35">
        <v>0</v>
      </c>
      <c r="U26" s="35">
        <f>154000*1.5</f>
        <v>231000</v>
      </c>
      <c r="V26" s="124">
        <f>55*24000</f>
        <v>1320000</v>
      </c>
      <c r="W26" s="102">
        <f>231000+231000+1320000</f>
        <v>1782000</v>
      </c>
      <c r="X26" s="102" t="s">
        <v>43</v>
      </c>
    </row>
    <row r="27" spans="1:24" s="12" customFormat="1" ht="102" customHeight="1" thickBot="1">
      <c r="A27" s="173"/>
      <c r="B27" s="29" t="s">
        <v>142</v>
      </c>
      <c r="C27" s="147"/>
      <c r="D27" s="147"/>
      <c r="E27" s="157"/>
      <c r="F27" s="157"/>
      <c r="G27" s="147"/>
      <c r="H27" s="113"/>
      <c r="I27" s="157"/>
      <c r="J27" s="113"/>
      <c r="K27" s="161"/>
      <c r="L27" s="162"/>
      <c r="M27" s="162"/>
      <c r="N27" s="162"/>
      <c r="O27" s="162"/>
      <c r="P27" s="162"/>
      <c r="Q27" s="162"/>
      <c r="R27" s="162"/>
      <c r="S27" s="163"/>
      <c r="T27" s="35">
        <v>0</v>
      </c>
      <c r="U27" s="35">
        <f>154000*1.5</f>
        <v>231000</v>
      </c>
      <c r="V27" s="125"/>
      <c r="W27" s="103"/>
      <c r="X27" s="103"/>
    </row>
    <row r="28" spans="1:24" s="12" customFormat="1" ht="96" customHeight="1" thickBot="1">
      <c r="A28" s="58">
        <v>14</v>
      </c>
      <c r="B28" s="59" t="s">
        <v>143</v>
      </c>
      <c r="C28" s="60" t="s">
        <v>144</v>
      </c>
      <c r="D28" s="60" t="s">
        <v>48</v>
      </c>
      <c r="E28" s="61" t="s">
        <v>145</v>
      </c>
      <c r="F28" s="60" t="s">
        <v>132</v>
      </c>
      <c r="G28" s="60" t="s">
        <v>146</v>
      </c>
      <c r="H28" s="62" t="s">
        <v>140</v>
      </c>
      <c r="I28" s="30" t="s">
        <v>114</v>
      </c>
      <c r="J28" s="63">
        <v>22</v>
      </c>
      <c r="K28" s="107" t="s">
        <v>147</v>
      </c>
      <c r="L28" s="108"/>
      <c r="M28" s="108"/>
      <c r="N28" s="108"/>
      <c r="O28" s="108"/>
      <c r="P28" s="108"/>
      <c r="Q28" s="108"/>
      <c r="R28" s="108"/>
      <c r="S28" s="109"/>
      <c r="T28" s="35">
        <v>0</v>
      </c>
      <c r="U28" s="35">
        <f>154000*1.5</f>
        <v>231000</v>
      </c>
      <c r="V28" s="35">
        <f>22*24000</f>
        <v>528000</v>
      </c>
      <c r="W28" s="49">
        <f>231000+V28</f>
        <v>759000</v>
      </c>
      <c r="X28" s="49" t="s">
        <v>43</v>
      </c>
    </row>
    <row r="29" spans="1:24" ht="84.75" thickBot="1">
      <c r="A29" s="28">
        <v>15</v>
      </c>
      <c r="B29" s="29" t="s">
        <v>148</v>
      </c>
      <c r="C29" s="29" t="s">
        <v>149</v>
      </c>
      <c r="D29" s="29" t="s">
        <v>60</v>
      </c>
      <c r="E29" s="28" t="s">
        <v>150</v>
      </c>
      <c r="F29" s="64" t="s">
        <v>151</v>
      </c>
      <c r="G29" s="29" t="s">
        <v>152</v>
      </c>
      <c r="H29" s="28" t="s">
        <v>153</v>
      </c>
      <c r="I29" s="65" t="s">
        <v>65</v>
      </c>
      <c r="J29" s="28">
        <v>16</v>
      </c>
      <c r="K29" s="28" t="s">
        <v>40</v>
      </c>
      <c r="L29" s="28" t="s">
        <v>154</v>
      </c>
      <c r="M29" s="28" t="s">
        <v>155</v>
      </c>
      <c r="N29" s="36" t="s">
        <v>43</v>
      </c>
      <c r="O29" s="55">
        <v>600000</v>
      </c>
      <c r="P29" s="55">
        <v>80000</v>
      </c>
      <c r="Q29" s="55">
        <v>90000</v>
      </c>
      <c r="R29" s="35">
        <f>106758*2.5</f>
        <v>266895</v>
      </c>
      <c r="S29" s="66">
        <f>+O29+P29+Q29+266895</f>
        <v>1036895</v>
      </c>
      <c r="T29" s="55">
        <v>0</v>
      </c>
      <c r="U29" s="35">
        <f>154000*2.5</f>
        <v>385000</v>
      </c>
      <c r="V29" s="35">
        <f>(16*36000)</f>
        <v>576000</v>
      </c>
      <c r="W29" s="49">
        <f>385000+V29+S29</f>
        <v>1997895</v>
      </c>
      <c r="X29" s="36" t="s">
        <v>43</v>
      </c>
    </row>
    <row r="30" spans="1:24" ht="90" customHeight="1" thickBot="1">
      <c r="A30" s="28">
        <v>16</v>
      </c>
      <c r="B30" s="29" t="s">
        <v>76</v>
      </c>
      <c r="C30" s="29" t="s">
        <v>156</v>
      </c>
      <c r="D30" s="29" t="s">
        <v>78</v>
      </c>
      <c r="E30" s="28" t="s">
        <v>157</v>
      </c>
      <c r="F30" s="28" t="s">
        <v>158</v>
      </c>
      <c r="G30" s="29" t="s">
        <v>81</v>
      </c>
      <c r="H30" s="28" t="s">
        <v>82</v>
      </c>
      <c r="I30" s="28" t="s">
        <v>74</v>
      </c>
      <c r="J30" s="28">
        <v>24</v>
      </c>
      <c r="K30" s="104" t="s">
        <v>159</v>
      </c>
      <c r="L30" s="105"/>
      <c r="M30" s="105"/>
      <c r="N30" s="105"/>
      <c r="O30" s="105"/>
      <c r="P30" s="105"/>
      <c r="Q30" s="105"/>
      <c r="R30" s="105"/>
      <c r="S30" s="106"/>
      <c r="T30" s="35">
        <v>0</v>
      </c>
      <c r="U30" s="35">
        <f>154000*0.5</f>
        <v>77000</v>
      </c>
      <c r="V30" s="35">
        <f>(24*12000)+(24*24000)</f>
        <v>864000</v>
      </c>
      <c r="W30" s="49">
        <f>77000+864000</f>
        <v>941000</v>
      </c>
      <c r="X30" s="47" t="s">
        <v>43</v>
      </c>
    </row>
    <row r="31" spans="1:24" ht="75" customHeight="1" thickBot="1">
      <c r="A31" s="28">
        <v>17</v>
      </c>
      <c r="B31" s="41" t="s">
        <v>160</v>
      </c>
      <c r="C31" s="41" t="s">
        <v>161</v>
      </c>
      <c r="D31" s="41" t="s">
        <v>60</v>
      </c>
      <c r="E31" s="33" t="s">
        <v>162</v>
      </c>
      <c r="F31" s="33" t="s">
        <v>158</v>
      </c>
      <c r="G31" s="41" t="s">
        <v>163</v>
      </c>
      <c r="H31" s="33" t="s">
        <v>164</v>
      </c>
      <c r="I31" s="30" t="s">
        <v>65</v>
      </c>
      <c r="J31" s="33">
        <v>12</v>
      </c>
      <c r="K31" s="107" t="s">
        <v>165</v>
      </c>
      <c r="L31" s="108"/>
      <c r="M31" s="108"/>
      <c r="N31" s="108"/>
      <c r="O31" s="108"/>
      <c r="P31" s="108"/>
      <c r="Q31" s="108"/>
      <c r="R31" s="108"/>
      <c r="S31" s="109"/>
      <c r="T31" s="35">
        <v>0</v>
      </c>
      <c r="U31" s="35">
        <f>154000*0.5</f>
        <v>77000</v>
      </c>
      <c r="V31" s="35">
        <f>(12*12000)+(12*2000)</f>
        <v>168000</v>
      </c>
      <c r="W31" s="49">
        <f>+V31+77000</f>
        <v>245000</v>
      </c>
      <c r="X31" s="36" t="s">
        <v>43</v>
      </c>
    </row>
    <row r="32" spans="1:24" ht="108" customHeight="1" thickBot="1">
      <c r="A32" s="38">
        <v>18</v>
      </c>
      <c r="B32" s="29" t="s">
        <v>166</v>
      </c>
      <c r="C32" s="29" t="s">
        <v>167</v>
      </c>
      <c r="D32" s="29" t="s">
        <v>168</v>
      </c>
      <c r="E32" s="28" t="s">
        <v>169</v>
      </c>
      <c r="F32" s="28" t="s">
        <v>158</v>
      </c>
      <c r="G32" s="29" t="s">
        <v>81</v>
      </c>
      <c r="H32" s="28" t="s">
        <v>82</v>
      </c>
      <c r="I32" s="28" t="s">
        <v>74</v>
      </c>
      <c r="J32" s="28">
        <v>19</v>
      </c>
      <c r="K32" s="104" t="s">
        <v>159</v>
      </c>
      <c r="L32" s="105"/>
      <c r="M32" s="105"/>
      <c r="N32" s="105"/>
      <c r="O32" s="105"/>
      <c r="P32" s="105"/>
      <c r="Q32" s="105"/>
      <c r="R32" s="105"/>
      <c r="S32" s="106"/>
      <c r="T32" s="35">
        <v>0</v>
      </c>
      <c r="U32" s="35">
        <f>154000*0.5</f>
        <v>77000</v>
      </c>
      <c r="V32" s="35">
        <f>(19*12000)+(19*24000)</f>
        <v>684000</v>
      </c>
      <c r="W32" s="49">
        <f>77000+684000</f>
        <v>761000</v>
      </c>
      <c r="X32" s="47" t="s">
        <v>43</v>
      </c>
    </row>
    <row r="33" spans="1:24" ht="90" customHeight="1" thickBot="1">
      <c r="A33" s="28">
        <v>19</v>
      </c>
      <c r="B33" s="29" t="s">
        <v>170</v>
      </c>
      <c r="C33" s="29" t="s">
        <v>68</v>
      </c>
      <c r="D33" s="29" t="s">
        <v>69</v>
      </c>
      <c r="E33" s="50" t="s">
        <v>171</v>
      </c>
      <c r="F33" s="28" t="s">
        <v>158</v>
      </c>
      <c r="G33" s="51" t="s">
        <v>72</v>
      </c>
      <c r="H33" s="28" t="s">
        <v>104</v>
      </c>
      <c r="I33" s="52" t="s">
        <v>74</v>
      </c>
      <c r="J33" s="48">
        <v>46</v>
      </c>
      <c r="K33" s="104" t="s">
        <v>172</v>
      </c>
      <c r="L33" s="105"/>
      <c r="M33" s="105"/>
      <c r="N33" s="105"/>
      <c r="O33" s="105"/>
      <c r="P33" s="105"/>
      <c r="Q33" s="105"/>
      <c r="R33" s="105"/>
      <c r="S33" s="106"/>
      <c r="T33" s="35">
        <v>0</v>
      </c>
      <c r="U33" s="35">
        <f>154000*0.5</f>
        <v>77000</v>
      </c>
      <c r="V33" s="36">
        <f>(46*12000)+(46*11000)+2000000</f>
        <v>3058000</v>
      </c>
      <c r="W33" s="49">
        <f>77000+V33</f>
        <v>3135000</v>
      </c>
      <c r="X33" s="47" t="s">
        <v>43</v>
      </c>
    </row>
    <row r="34" spans="1:24" ht="90" customHeight="1" thickBot="1">
      <c r="A34" s="112">
        <v>20</v>
      </c>
      <c r="B34" s="146" t="s">
        <v>173</v>
      </c>
      <c r="C34" s="146" t="s">
        <v>174</v>
      </c>
      <c r="D34" s="146" t="s">
        <v>168</v>
      </c>
      <c r="E34" s="170" t="s">
        <v>175</v>
      </c>
      <c r="F34" s="112" t="s">
        <v>158</v>
      </c>
      <c r="G34" s="112" t="s">
        <v>176</v>
      </c>
      <c r="H34" s="112" t="s">
        <v>177</v>
      </c>
      <c r="I34" s="112" t="s">
        <v>74</v>
      </c>
      <c r="J34" s="170">
        <v>19</v>
      </c>
      <c r="K34" s="47" t="s">
        <v>40</v>
      </c>
      <c r="L34" s="48" t="s">
        <v>178</v>
      </c>
      <c r="M34" s="48" t="s">
        <v>179</v>
      </c>
      <c r="N34" s="67" t="s">
        <v>43</v>
      </c>
      <c r="O34" s="35">
        <v>170000</v>
      </c>
      <c r="P34" s="35">
        <v>80000</v>
      </c>
      <c r="Q34" s="55">
        <v>30000</v>
      </c>
      <c r="R34" s="35">
        <f>106758*0.5</f>
        <v>53379</v>
      </c>
      <c r="S34" s="66">
        <v>333379</v>
      </c>
      <c r="T34" s="149">
        <v>0</v>
      </c>
      <c r="U34" s="124">
        <f>154000*0.5</f>
        <v>77000</v>
      </c>
      <c r="V34" s="124">
        <f>(19*11000)+(19*24000)+(19*12000)</f>
        <v>893000</v>
      </c>
      <c r="W34" s="102">
        <f>+V34+S34+77000</f>
        <v>1303379</v>
      </c>
      <c r="X34" s="127" t="s">
        <v>43</v>
      </c>
    </row>
    <row r="35" spans="1:24" ht="106.5" customHeight="1" thickBot="1">
      <c r="A35" s="113"/>
      <c r="B35" s="147"/>
      <c r="C35" s="147"/>
      <c r="D35" s="147"/>
      <c r="E35" s="171"/>
      <c r="F35" s="113"/>
      <c r="G35" s="113"/>
      <c r="H35" s="113"/>
      <c r="I35" s="113"/>
      <c r="J35" s="171"/>
      <c r="K35" s="107" t="s">
        <v>180</v>
      </c>
      <c r="L35" s="108"/>
      <c r="M35" s="108"/>
      <c r="N35" s="108"/>
      <c r="O35" s="108"/>
      <c r="P35" s="108"/>
      <c r="Q35" s="108"/>
      <c r="R35" s="108"/>
      <c r="S35" s="109"/>
      <c r="T35" s="150"/>
      <c r="U35" s="125"/>
      <c r="V35" s="125"/>
      <c r="W35" s="103"/>
      <c r="X35" s="129"/>
    </row>
    <row r="36" spans="1:24" ht="76.5" customHeight="1" thickBot="1">
      <c r="A36" s="164">
        <v>21</v>
      </c>
      <c r="B36" s="167" t="s">
        <v>181</v>
      </c>
      <c r="C36" s="168" t="s">
        <v>182</v>
      </c>
      <c r="D36" s="167" t="s">
        <v>34</v>
      </c>
      <c r="E36" s="28" t="s">
        <v>183</v>
      </c>
      <c r="F36" s="169" t="s">
        <v>184</v>
      </c>
      <c r="G36" s="164" t="s">
        <v>185</v>
      </c>
      <c r="H36" s="165" t="s">
        <v>186</v>
      </c>
      <c r="I36" s="166" t="s">
        <v>105</v>
      </c>
      <c r="J36" s="28">
        <v>20</v>
      </c>
      <c r="K36" s="158" t="s">
        <v>187</v>
      </c>
      <c r="L36" s="159"/>
      <c r="M36" s="159"/>
      <c r="N36" s="159"/>
      <c r="O36" s="159"/>
      <c r="P36" s="159"/>
      <c r="Q36" s="159"/>
      <c r="R36" s="159"/>
      <c r="S36" s="160"/>
      <c r="T36" s="124">
        <v>0</v>
      </c>
      <c r="U36" s="124">
        <f>154000*2.5</f>
        <v>385000</v>
      </c>
      <c r="V36" s="36">
        <f>20*36000</f>
        <v>720000</v>
      </c>
      <c r="W36" s="102">
        <f>+V36+V37+385000</f>
        <v>1825000</v>
      </c>
      <c r="X36" s="127" t="s">
        <v>43</v>
      </c>
    </row>
    <row r="37" spans="1:24" ht="75" customHeight="1" thickBot="1">
      <c r="A37" s="164"/>
      <c r="B37" s="167"/>
      <c r="C37" s="168"/>
      <c r="D37" s="167"/>
      <c r="E37" s="28" t="s">
        <v>188</v>
      </c>
      <c r="F37" s="169"/>
      <c r="G37" s="164"/>
      <c r="H37" s="165"/>
      <c r="I37" s="166"/>
      <c r="J37" s="28">
        <v>20</v>
      </c>
      <c r="K37" s="161"/>
      <c r="L37" s="162"/>
      <c r="M37" s="162"/>
      <c r="N37" s="162"/>
      <c r="O37" s="162"/>
      <c r="P37" s="162"/>
      <c r="Q37" s="162"/>
      <c r="R37" s="162"/>
      <c r="S37" s="163"/>
      <c r="T37" s="125"/>
      <c r="U37" s="125"/>
      <c r="V37" s="36">
        <f>20*36000</f>
        <v>720000</v>
      </c>
      <c r="W37" s="103"/>
      <c r="X37" s="129"/>
    </row>
    <row r="38" spans="1:24" ht="90" customHeight="1" thickBot="1">
      <c r="A38" s="28">
        <v>22</v>
      </c>
      <c r="B38" s="29" t="s">
        <v>189</v>
      </c>
      <c r="C38" s="29" t="s">
        <v>33</v>
      </c>
      <c r="D38" s="29" t="s">
        <v>34</v>
      </c>
      <c r="E38" s="28" t="s">
        <v>190</v>
      </c>
      <c r="F38" s="30" t="s">
        <v>191</v>
      </c>
      <c r="G38" s="28" t="s">
        <v>37</v>
      </c>
      <c r="H38" s="31" t="s">
        <v>38</v>
      </c>
      <c r="I38" s="32" t="s">
        <v>39</v>
      </c>
      <c r="J38" s="28">
        <v>20</v>
      </c>
      <c r="K38" s="107" t="s">
        <v>192</v>
      </c>
      <c r="L38" s="108"/>
      <c r="M38" s="108"/>
      <c r="N38" s="108"/>
      <c r="O38" s="108"/>
      <c r="P38" s="108"/>
      <c r="Q38" s="108"/>
      <c r="R38" s="108"/>
      <c r="S38" s="109"/>
      <c r="T38" s="43">
        <v>0</v>
      </c>
      <c r="U38" s="35">
        <f>154000*0.5</f>
        <v>77000</v>
      </c>
      <c r="V38" s="36">
        <f>20*12000</f>
        <v>240000</v>
      </c>
      <c r="W38" s="49">
        <f>77000+V38</f>
        <v>317000</v>
      </c>
      <c r="X38" s="36" t="s">
        <v>43</v>
      </c>
    </row>
    <row r="39" spans="1:24" s="12" customFormat="1" ht="92.25" customHeight="1" thickBot="1">
      <c r="A39" s="40">
        <v>23</v>
      </c>
      <c r="B39" s="44" t="s">
        <v>56</v>
      </c>
      <c r="C39" s="29" t="s">
        <v>193</v>
      </c>
      <c r="D39" s="41" t="s">
        <v>48</v>
      </c>
      <c r="E39" s="28" t="s">
        <v>194</v>
      </c>
      <c r="F39" s="42" t="s">
        <v>195</v>
      </c>
      <c r="G39" s="41" t="s">
        <v>196</v>
      </c>
      <c r="H39" s="33" t="s">
        <v>52</v>
      </c>
      <c r="I39" s="42" t="s">
        <v>53</v>
      </c>
      <c r="J39" s="28">
        <v>14</v>
      </c>
      <c r="K39" s="151" t="s">
        <v>197</v>
      </c>
      <c r="L39" s="152"/>
      <c r="M39" s="152"/>
      <c r="N39" s="152"/>
      <c r="O39" s="152"/>
      <c r="P39" s="152"/>
      <c r="Q39" s="152"/>
      <c r="R39" s="152"/>
      <c r="S39" s="153"/>
      <c r="T39" s="43">
        <v>0</v>
      </c>
      <c r="U39" s="35">
        <v>0</v>
      </c>
      <c r="V39" s="43">
        <f>14*12000</f>
        <v>168000</v>
      </c>
      <c r="W39" s="34">
        <f>+V39+U39</f>
        <v>168000</v>
      </c>
      <c r="X39" s="34" t="s">
        <v>43</v>
      </c>
    </row>
    <row r="40" spans="1:24" s="12" customFormat="1" ht="69.75" customHeight="1" thickBot="1">
      <c r="A40" s="112">
        <v>24</v>
      </c>
      <c r="B40" s="29" t="s">
        <v>198</v>
      </c>
      <c r="C40" s="146" t="s">
        <v>199</v>
      </c>
      <c r="D40" s="146" t="s">
        <v>48</v>
      </c>
      <c r="E40" s="28" t="s">
        <v>200</v>
      </c>
      <c r="F40" s="156" t="s">
        <v>201</v>
      </c>
      <c r="G40" s="146" t="s">
        <v>202</v>
      </c>
      <c r="H40" s="112" t="s">
        <v>203</v>
      </c>
      <c r="I40" s="156" t="s">
        <v>53</v>
      </c>
      <c r="J40" s="28">
        <v>24</v>
      </c>
      <c r="K40" s="158" t="s">
        <v>204</v>
      </c>
      <c r="L40" s="159"/>
      <c r="M40" s="159"/>
      <c r="N40" s="159"/>
      <c r="O40" s="159"/>
      <c r="P40" s="159"/>
      <c r="Q40" s="159"/>
      <c r="R40" s="159"/>
      <c r="S40" s="160"/>
      <c r="T40" s="43">
        <v>0</v>
      </c>
      <c r="U40" s="35">
        <f>154000*2.5</f>
        <v>385000</v>
      </c>
      <c r="V40" s="43">
        <f>24*36000</f>
        <v>864000</v>
      </c>
      <c r="W40" s="102">
        <f>385000+385000+V40+V41</f>
        <v>2272000</v>
      </c>
      <c r="X40" s="102" t="s">
        <v>43</v>
      </c>
    </row>
    <row r="41" spans="1:24" s="12" customFormat="1" ht="82.5" customHeight="1" thickBot="1">
      <c r="A41" s="113"/>
      <c r="B41" s="29" t="s">
        <v>205</v>
      </c>
      <c r="C41" s="147"/>
      <c r="D41" s="147"/>
      <c r="E41" s="28" t="s">
        <v>206</v>
      </c>
      <c r="F41" s="157"/>
      <c r="G41" s="147"/>
      <c r="H41" s="113"/>
      <c r="I41" s="157"/>
      <c r="J41" s="28">
        <v>11</v>
      </c>
      <c r="K41" s="161"/>
      <c r="L41" s="162"/>
      <c r="M41" s="162"/>
      <c r="N41" s="162"/>
      <c r="O41" s="162"/>
      <c r="P41" s="162"/>
      <c r="Q41" s="162"/>
      <c r="R41" s="162"/>
      <c r="S41" s="163"/>
      <c r="T41" s="35">
        <v>0</v>
      </c>
      <c r="U41" s="35">
        <f>154000*2.5</f>
        <v>385000</v>
      </c>
      <c r="V41" s="35">
        <f>(11*36000)+(11*22000)</f>
        <v>638000</v>
      </c>
      <c r="W41" s="103"/>
      <c r="X41" s="103"/>
    </row>
    <row r="42" spans="1:24" ht="87" customHeight="1" thickBot="1">
      <c r="A42" s="28">
        <v>25</v>
      </c>
      <c r="B42" s="29" t="s">
        <v>207</v>
      </c>
      <c r="C42" s="29" t="s">
        <v>68</v>
      </c>
      <c r="D42" s="29" t="s">
        <v>69</v>
      </c>
      <c r="E42" s="50" t="s">
        <v>208</v>
      </c>
      <c r="F42" s="28" t="s">
        <v>209</v>
      </c>
      <c r="G42" s="51" t="s">
        <v>72</v>
      </c>
      <c r="H42" s="28" t="s">
        <v>104</v>
      </c>
      <c r="I42" s="52" t="s">
        <v>74</v>
      </c>
      <c r="J42" s="48">
        <v>41</v>
      </c>
      <c r="K42" s="104" t="s">
        <v>210</v>
      </c>
      <c r="L42" s="105"/>
      <c r="M42" s="105"/>
      <c r="N42" s="105"/>
      <c r="O42" s="105"/>
      <c r="P42" s="105"/>
      <c r="Q42" s="105"/>
      <c r="R42" s="105"/>
      <c r="S42" s="106"/>
      <c r="T42" s="55">
        <v>0</v>
      </c>
      <c r="U42" s="35">
        <f>154000*0.5</f>
        <v>77000</v>
      </c>
      <c r="V42" s="36">
        <f>(41*12000)+(41*11000)+2000000</f>
        <v>2943000</v>
      </c>
      <c r="W42" s="49">
        <f>77000+V42</f>
        <v>3020000</v>
      </c>
      <c r="X42" s="36" t="s">
        <v>43</v>
      </c>
    </row>
    <row r="43" spans="1:24" ht="89.25" customHeight="1" thickBot="1">
      <c r="A43" s="28">
        <v>26</v>
      </c>
      <c r="B43" s="29" t="s">
        <v>211</v>
      </c>
      <c r="C43" s="29" t="s">
        <v>174</v>
      </c>
      <c r="D43" s="29" t="s">
        <v>168</v>
      </c>
      <c r="E43" s="28" t="s">
        <v>212</v>
      </c>
      <c r="F43" s="28" t="s">
        <v>209</v>
      </c>
      <c r="G43" s="29" t="s">
        <v>176</v>
      </c>
      <c r="H43" s="28" t="s">
        <v>177</v>
      </c>
      <c r="I43" s="52" t="s">
        <v>74</v>
      </c>
      <c r="J43" s="48">
        <v>28</v>
      </c>
      <c r="K43" s="107" t="s">
        <v>213</v>
      </c>
      <c r="L43" s="108"/>
      <c r="M43" s="108"/>
      <c r="N43" s="108"/>
      <c r="O43" s="108"/>
      <c r="P43" s="108"/>
      <c r="Q43" s="108"/>
      <c r="R43" s="108"/>
      <c r="S43" s="109"/>
      <c r="T43" s="55">
        <v>0</v>
      </c>
      <c r="U43" s="35">
        <f>154000*0.5</f>
        <v>77000</v>
      </c>
      <c r="V43" s="35">
        <f>(28*11000)+(28*12000)</f>
        <v>644000</v>
      </c>
      <c r="W43" s="49">
        <f>+V43+77000</f>
        <v>721000</v>
      </c>
      <c r="X43" s="36" t="s">
        <v>43</v>
      </c>
    </row>
    <row r="44" spans="1:24" s="56" customFormat="1" ht="96.75" customHeight="1" thickBot="1">
      <c r="A44" s="28">
        <v>27</v>
      </c>
      <c r="B44" s="29" t="s">
        <v>214</v>
      </c>
      <c r="C44" s="29" t="s">
        <v>174</v>
      </c>
      <c r="D44" s="29" t="s">
        <v>168</v>
      </c>
      <c r="E44" s="28" t="s">
        <v>215</v>
      </c>
      <c r="F44" s="28" t="s">
        <v>209</v>
      </c>
      <c r="G44" s="29" t="s">
        <v>176</v>
      </c>
      <c r="H44" s="28" t="s">
        <v>177</v>
      </c>
      <c r="I44" s="52" t="s">
        <v>74</v>
      </c>
      <c r="J44" s="48">
        <v>26</v>
      </c>
      <c r="K44" s="151" t="s">
        <v>216</v>
      </c>
      <c r="L44" s="152"/>
      <c r="M44" s="152"/>
      <c r="N44" s="152"/>
      <c r="O44" s="152"/>
      <c r="P44" s="152"/>
      <c r="Q44" s="152"/>
      <c r="R44" s="152"/>
      <c r="S44" s="153"/>
      <c r="T44" s="35">
        <v>0</v>
      </c>
      <c r="U44" s="35">
        <f>154000*0.5</f>
        <v>77000</v>
      </c>
      <c r="V44" s="35">
        <f>(26*11000)+(26*4000)+(26*12000)</f>
        <v>702000</v>
      </c>
      <c r="W44" s="68">
        <f>77000+V44</f>
        <v>779000</v>
      </c>
      <c r="X44" s="36" t="s">
        <v>43</v>
      </c>
    </row>
    <row r="45" spans="1:24" s="56" customFormat="1" ht="88.5" customHeight="1" thickBot="1">
      <c r="A45" s="112">
        <v>28</v>
      </c>
      <c r="B45" s="29" t="s">
        <v>217</v>
      </c>
      <c r="C45" s="146" t="s">
        <v>218</v>
      </c>
      <c r="D45" s="146" t="s">
        <v>168</v>
      </c>
      <c r="E45" s="112" t="s">
        <v>219</v>
      </c>
      <c r="F45" s="112" t="s">
        <v>220</v>
      </c>
      <c r="G45" s="146" t="s">
        <v>221</v>
      </c>
      <c r="H45" s="112" t="s">
        <v>222</v>
      </c>
      <c r="I45" s="112" t="s">
        <v>74</v>
      </c>
      <c r="J45" s="112">
        <v>31</v>
      </c>
      <c r="K45" s="112" t="s">
        <v>40</v>
      </c>
      <c r="L45" s="112" t="s">
        <v>41</v>
      </c>
      <c r="M45" s="112" t="s">
        <v>42</v>
      </c>
      <c r="N45" s="112" t="s">
        <v>43</v>
      </c>
      <c r="O45" s="149">
        <v>280000</v>
      </c>
      <c r="P45" s="149">
        <v>20000</v>
      </c>
      <c r="Q45" s="149">
        <v>60000</v>
      </c>
      <c r="R45" s="149">
        <f>106758*1.5</f>
        <v>160137</v>
      </c>
      <c r="S45" s="154">
        <f>+O45+P45+Q45+R45</f>
        <v>520137</v>
      </c>
      <c r="T45" s="149">
        <v>0</v>
      </c>
      <c r="U45" s="35">
        <f aca="true" t="shared" si="0" ref="U45:U52">154000*1.5</f>
        <v>231000</v>
      </c>
      <c r="V45" s="124">
        <f>(31*24000)+(31*20000)</f>
        <v>1364000</v>
      </c>
      <c r="W45" s="102">
        <f>+V45+231000+231000+S45</f>
        <v>2346137</v>
      </c>
      <c r="X45" s="127" t="s">
        <v>43</v>
      </c>
    </row>
    <row r="46" spans="1:24" s="56" customFormat="1" ht="89.25" customHeight="1" thickBot="1">
      <c r="A46" s="113"/>
      <c r="B46" s="29" t="s">
        <v>223</v>
      </c>
      <c r="C46" s="147"/>
      <c r="D46" s="147"/>
      <c r="E46" s="113"/>
      <c r="F46" s="113"/>
      <c r="G46" s="147"/>
      <c r="H46" s="113"/>
      <c r="I46" s="113"/>
      <c r="J46" s="113"/>
      <c r="K46" s="113"/>
      <c r="L46" s="113"/>
      <c r="M46" s="113"/>
      <c r="N46" s="113"/>
      <c r="O46" s="150"/>
      <c r="P46" s="150"/>
      <c r="Q46" s="150"/>
      <c r="R46" s="150"/>
      <c r="S46" s="155"/>
      <c r="T46" s="150"/>
      <c r="U46" s="35">
        <f t="shared" si="0"/>
        <v>231000</v>
      </c>
      <c r="V46" s="125"/>
      <c r="W46" s="103"/>
      <c r="X46" s="129"/>
    </row>
    <row r="47" spans="1:24" ht="101.25" customHeight="1" thickBot="1">
      <c r="A47" s="28">
        <v>29</v>
      </c>
      <c r="B47" s="29" t="s">
        <v>224</v>
      </c>
      <c r="C47" s="29" t="s">
        <v>225</v>
      </c>
      <c r="D47" s="29" t="s">
        <v>168</v>
      </c>
      <c r="E47" s="28" t="s">
        <v>226</v>
      </c>
      <c r="F47" s="28" t="s">
        <v>220</v>
      </c>
      <c r="G47" s="44" t="s">
        <v>227</v>
      </c>
      <c r="H47" s="28" t="s">
        <v>97</v>
      </c>
      <c r="I47" s="52" t="s">
        <v>74</v>
      </c>
      <c r="J47" s="28">
        <v>27</v>
      </c>
      <c r="K47" s="104" t="s">
        <v>228</v>
      </c>
      <c r="L47" s="105"/>
      <c r="M47" s="105"/>
      <c r="N47" s="105"/>
      <c r="O47" s="105"/>
      <c r="P47" s="105"/>
      <c r="Q47" s="105"/>
      <c r="R47" s="105"/>
      <c r="S47" s="106"/>
      <c r="T47" s="35">
        <v>0</v>
      </c>
      <c r="U47" s="35">
        <f t="shared" si="0"/>
        <v>231000</v>
      </c>
      <c r="V47" s="36">
        <f>(27*24000)+(27*11000)+2000000</f>
        <v>2945000</v>
      </c>
      <c r="W47" s="49">
        <f>231000+V47</f>
        <v>3176000</v>
      </c>
      <c r="X47" s="28" t="s">
        <v>43</v>
      </c>
    </row>
    <row r="48" spans="1:24" ht="88.5" customHeight="1" thickBot="1">
      <c r="A48" s="28">
        <v>30</v>
      </c>
      <c r="B48" s="29" t="s">
        <v>229</v>
      </c>
      <c r="C48" s="29" t="s">
        <v>174</v>
      </c>
      <c r="D48" s="29" t="s">
        <v>168</v>
      </c>
      <c r="E48" s="28" t="s">
        <v>230</v>
      </c>
      <c r="F48" s="28" t="s">
        <v>220</v>
      </c>
      <c r="G48" s="29" t="s">
        <v>176</v>
      </c>
      <c r="H48" s="28" t="s">
        <v>97</v>
      </c>
      <c r="I48" s="52" t="s">
        <v>74</v>
      </c>
      <c r="J48" s="48">
        <v>27</v>
      </c>
      <c r="K48" s="47" t="s">
        <v>40</v>
      </c>
      <c r="L48" s="28" t="s">
        <v>154</v>
      </c>
      <c r="M48" s="28" t="s">
        <v>155</v>
      </c>
      <c r="N48" s="28" t="s">
        <v>43</v>
      </c>
      <c r="O48" s="55">
        <v>420000</v>
      </c>
      <c r="P48" s="55">
        <v>80000</v>
      </c>
      <c r="Q48" s="55">
        <v>60000</v>
      </c>
      <c r="R48" s="35">
        <f>106758*1.5</f>
        <v>160137</v>
      </c>
      <c r="S48" s="66">
        <v>720137</v>
      </c>
      <c r="T48" s="35">
        <v>0</v>
      </c>
      <c r="U48" s="35">
        <f t="shared" si="0"/>
        <v>231000</v>
      </c>
      <c r="V48" s="35">
        <f>(27*11000)+(27*40000)+80000+(27*24000)</f>
        <v>2105000</v>
      </c>
      <c r="W48" s="49">
        <f>231000+V48+S48</f>
        <v>3056137</v>
      </c>
      <c r="X48" s="28" t="s">
        <v>43</v>
      </c>
    </row>
    <row r="49" spans="1:24" ht="95.25" customHeight="1" thickBot="1">
      <c r="A49" s="28">
        <v>31</v>
      </c>
      <c r="B49" s="29" t="s">
        <v>231</v>
      </c>
      <c r="C49" s="69" t="s">
        <v>232</v>
      </c>
      <c r="D49" s="29" t="s">
        <v>168</v>
      </c>
      <c r="E49" s="70" t="s">
        <v>233</v>
      </c>
      <c r="F49" s="28" t="s">
        <v>220</v>
      </c>
      <c r="G49" s="29" t="s">
        <v>221</v>
      </c>
      <c r="H49" s="28" t="s">
        <v>97</v>
      </c>
      <c r="I49" s="28" t="s">
        <v>74</v>
      </c>
      <c r="J49" s="48">
        <f>25+20</f>
        <v>45</v>
      </c>
      <c r="K49" s="104" t="s">
        <v>234</v>
      </c>
      <c r="L49" s="105"/>
      <c r="M49" s="105"/>
      <c r="N49" s="105"/>
      <c r="O49" s="105"/>
      <c r="P49" s="105"/>
      <c r="Q49" s="105"/>
      <c r="R49" s="105"/>
      <c r="S49" s="106"/>
      <c r="T49" s="55">
        <v>0</v>
      </c>
      <c r="U49" s="35">
        <f t="shared" si="0"/>
        <v>231000</v>
      </c>
      <c r="V49" s="36">
        <f>(45*24000)+(45*15000)+3000000</f>
        <v>4755000</v>
      </c>
      <c r="W49" s="49">
        <f>231000+V49</f>
        <v>4986000</v>
      </c>
      <c r="X49" s="36" t="s">
        <v>43</v>
      </c>
    </row>
    <row r="50" spans="1:24" ht="94.5" customHeight="1" thickBot="1">
      <c r="A50" s="28">
        <v>32</v>
      </c>
      <c r="B50" s="29" t="s">
        <v>235</v>
      </c>
      <c r="C50" s="29" t="s">
        <v>236</v>
      </c>
      <c r="D50" s="29" t="s">
        <v>168</v>
      </c>
      <c r="E50" s="28" t="s">
        <v>237</v>
      </c>
      <c r="F50" s="28" t="s">
        <v>220</v>
      </c>
      <c r="G50" s="29" t="s">
        <v>221</v>
      </c>
      <c r="H50" s="28" t="s">
        <v>222</v>
      </c>
      <c r="I50" s="52" t="s">
        <v>74</v>
      </c>
      <c r="J50" s="48">
        <v>43</v>
      </c>
      <c r="K50" s="104" t="s">
        <v>238</v>
      </c>
      <c r="L50" s="105"/>
      <c r="M50" s="105"/>
      <c r="N50" s="105"/>
      <c r="O50" s="105"/>
      <c r="P50" s="105"/>
      <c r="Q50" s="105"/>
      <c r="R50" s="105"/>
      <c r="S50" s="106"/>
      <c r="T50" s="55">
        <v>0</v>
      </c>
      <c r="U50" s="35">
        <f t="shared" si="0"/>
        <v>231000</v>
      </c>
      <c r="V50" s="36">
        <f>(43*24000)+(43*15000)+4500000</f>
        <v>6177000</v>
      </c>
      <c r="W50" s="49">
        <f>231000+V50</f>
        <v>6408000</v>
      </c>
      <c r="X50" s="36" t="s">
        <v>43</v>
      </c>
    </row>
    <row r="51" spans="1:24" s="12" customFormat="1" ht="111.75" customHeight="1" thickBot="1">
      <c r="A51" s="71">
        <v>33</v>
      </c>
      <c r="B51" s="29" t="s">
        <v>239</v>
      </c>
      <c r="C51" s="29" t="s">
        <v>240</v>
      </c>
      <c r="D51" s="29" t="s">
        <v>109</v>
      </c>
      <c r="E51" s="30" t="s">
        <v>241</v>
      </c>
      <c r="F51" s="30" t="s">
        <v>242</v>
      </c>
      <c r="G51" s="29" t="s">
        <v>243</v>
      </c>
      <c r="H51" s="28" t="s">
        <v>140</v>
      </c>
      <c r="I51" s="30" t="s">
        <v>53</v>
      </c>
      <c r="J51" s="28">
        <v>32</v>
      </c>
      <c r="K51" s="107" t="s">
        <v>244</v>
      </c>
      <c r="L51" s="108"/>
      <c r="M51" s="108"/>
      <c r="N51" s="108"/>
      <c r="O51" s="108"/>
      <c r="P51" s="108"/>
      <c r="Q51" s="108"/>
      <c r="R51" s="108"/>
      <c r="S51" s="109"/>
      <c r="T51" s="43">
        <v>0</v>
      </c>
      <c r="U51" s="35">
        <f t="shared" si="0"/>
        <v>231000</v>
      </c>
      <c r="V51" s="34">
        <f>(32*24000)+(32*16000)</f>
        <v>1280000</v>
      </c>
      <c r="W51" s="34">
        <f>231000+V51</f>
        <v>1511000</v>
      </c>
      <c r="X51" s="34" t="s">
        <v>43</v>
      </c>
    </row>
    <row r="52" spans="1:24" s="12" customFormat="1" ht="79.5" customHeight="1">
      <c r="A52" s="112">
        <v>34</v>
      </c>
      <c r="B52" s="146" t="s">
        <v>245</v>
      </c>
      <c r="C52" s="146" t="s">
        <v>246</v>
      </c>
      <c r="D52" s="146" t="s">
        <v>69</v>
      </c>
      <c r="E52" s="112" t="s">
        <v>247</v>
      </c>
      <c r="F52" s="112" t="s">
        <v>248</v>
      </c>
      <c r="G52" s="146" t="s">
        <v>249</v>
      </c>
      <c r="H52" s="112" t="s">
        <v>222</v>
      </c>
      <c r="I52" s="120" t="s">
        <v>74</v>
      </c>
      <c r="J52" s="112">
        <v>43</v>
      </c>
      <c r="K52" s="135" t="s">
        <v>250</v>
      </c>
      <c r="L52" s="136"/>
      <c r="M52" s="136"/>
      <c r="N52" s="136"/>
      <c r="O52" s="136"/>
      <c r="P52" s="136"/>
      <c r="Q52" s="136"/>
      <c r="R52" s="136"/>
      <c r="S52" s="137"/>
      <c r="T52" s="124">
        <v>0</v>
      </c>
      <c r="U52" s="124">
        <f t="shared" si="0"/>
        <v>231000</v>
      </c>
      <c r="V52" s="124">
        <f>(43*13000)+(43*24000)+3500000</f>
        <v>5091000</v>
      </c>
      <c r="W52" s="102">
        <f>231000+231000+V52+V54</f>
        <v>6515000</v>
      </c>
      <c r="X52" s="127" t="s">
        <v>43</v>
      </c>
    </row>
    <row r="53" spans="1:24" ht="15.75" thickBot="1">
      <c r="A53" s="145"/>
      <c r="B53" s="147"/>
      <c r="C53" s="148"/>
      <c r="D53" s="148"/>
      <c r="E53" s="113"/>
      <c r="F53" s="145"/>
      <c r="G53" s="148"/>
      <c r="H53" s="145"/>
      <c r="I53" s="134"/>
      <c r="J53" s="113"/>
      <c r="K53" s="138"/>
      <c r="L53" s="139"/>
      <c r="M53" s="139"/>
      <c r="N53" s="139"/>
      <c r="O53" s="139"/>
      <c r="P53" s="139"/>
      <c r="Q53" s="139"/>
      <c r="R53" s="139"/>
      <c r="S53" s="140"/>
      <c r="T53" s="144"/>
      <c r="U53" s="144"/>
      <c r="V53" s="125"/>
      <c r="W53" s="126"/>
      <c r="X53" s="128"/>
    </row>
    <row r="54" spans="1:24" ht="78" customHeight="1" thickBot="1">
      <c r="A54" s="113"/>
      <c r="B54" s="41" t="s">
        <v>251</v>
      </c>
      <c r="C54" s="147"/>
      <c r="D54" s="147"/>
      <c r="E54" s="28" t="s">
        <v>252</v>
      </c>
      <c r="F54" s="113"/>
      <c r="G54" s="147"/>
      <c r="H54" s="113"/>
      <c r="I54" s="121"/>
      <c r="J54" s="28">
        <v>26</v>
      </c>
      <c r="K54" s="141"/>
      <c r="L54" s="142"/>
      <c r="M54" s="142"/>
      <c r="N54" s="142"/>
      <c r="O54" s="142"/>
      <c r="P54" s="142"/>
      <c r="Q54" s="142"/>
      <c r="R54" s="142"/>
      <c r="S54" s="143"/>
      <c r="T54" s="125"/>
      <c r="U54" s="35">
        <f>154000*1.5</f>
        <v>231000</v>
      </c>
      <c r="V54" s="36">
        <f>(26*24000)+(26*13000)</f>
        <v>962000</v>
      </c>
      <c r="W54" s="103"/>
      <c r="X54" s="129"/>
    </row>
    <row r="55" spans="1:24" s="12" customFormat="1" ht="60.75" thickBot="1">
      <c r="A55" s="122">
        <v>35</v>
      </c>
      <c r="B55" s="72" t="s">
        <v>253</v>
      </c>
      <c r="C55" s="130" t="s">
        <v>254</v>
      </c>
      <c r="D55" s="130" t="s">
        <v>255</v>
      </c>
      <c r="E55" s="122" t="s">
        <v>256</v>
      </c>
      <c r="F55" s="132" t="s">
        <v>257</v>
      </c>
      <c r="G55" s="130" t="s">
        <v>258</v>
      </c>
      <c r="H55" s="122" t="s">
        <v>259</v>
      </c>
      <c r="I55" s="120" t="s">
        <v>114</v>
      </c>
      <c r="J55" s="122">
        <v>60</v>
      </c>
      <c r="K55" s="110" t="s">
        <v>40</v>
      </c>
      <c r="L55" s="48" t="s">
        <v>66</v>
      </c>
      <c r="M55" s="48" t="s">
        <v>67</v>
      </c>
      <c r="N55" s="112" t="s">
        <v>43</v>
      </c>
      <c r="O55" s="47">
        <v>1300000</v>
      </c>
      <c r="P55" s="47">
        <v>300000</v>
      </c>
      <c r="Q55" s="47">
        <v>120000</v>
      </c>
      <c r="R55" s="47">
        <f>106758*3.5</f>
        <v>373653</v>
      </c>
      <c r="S55" s="34">
        <f>+O55+P55+Q55+R55</f>
        <v>2093653</v>
      </c>
      <c r="T55" s="102">
        <v>0</v>
      </c>
      <c r="U55" s="35">
        <f>154000*3.5</f>
        <v>539000</v>
      </c>
      <c r="V55" s="102">
        <f>(60*16000)+(60*48000)</f>
        <v>3840000</v>
      </c>
      <c r="W55" s="102">
        <f>539000+539000+S55+S56+V55</f>
        <v>9105306</v>
      </c>
      <c r="X55" s="102" t="s">
        <v>43</v>
      </c>
    </row>
    <row r="56" spans="1:24" s="12" customFormat="1" ht="60.75" thickBot="1">
      <c r="A56" s="123"/>
      <c r="B56" s="72" t="s">
        <v>260</v>
      </c>
      <c r="C56" s="131"/>
      <c r="D56" s="131"/>
      <c r="E56" s="123"/>
      <c r="F56" s="133"/>
      <c r="G56" s="131"/>
      <c r="H56" s="123"/>
      <c r="I56" s="121"/>
      <c r="J56" s="123"/>
      <c r="K56" s="111"/>
      <c r="L56" s="28" t="s">
        <v>41</v>
      </c>
      <c r="M56" s="28" t="s">
        <v>42</v>
      </c>
      <c r="N56" s="113"/>
      <c r="O56" s="39">
        <v>1300000</v>
      </c>
      <c r="P56" s="39">
        <v>300000</v>
      </c>
      <c r="Q56" s="39">
        <v>120000</v>
      </c>
      <c r="R56" s="47">
        <f>106758*3.5</f>
        <v>373653</v>
      </c>
      <c r="S56" s="34">
        <f>+O56+P56+Q56+R56</f>
        <v>2093653</v>
      </c>
      <c r="T56" s="103"/>
      <c r="U56" s="35">
        <f>154000*3.5</f>
        <v>539000</v>
      </c>
      <c r="V56" s="103"/>
      <c r="W56" s="103"/>
      <c r="X56" s="103"/>
    </row>
    <row r="57" spans="1:24" s="12" customFormat="1" ht="75.75" customHeight="1" thickBot="1">
      <c r="A57" s="114">
        <v>36</v>
      </c>
      <c r="B57" s="60" t="s">
        <v>261</v>
      </c>
      <c r="C57" s="116" t="s">
        <v>262</v>
      </c>
      <c r="D57" s="116" t="s">
        <v>263</v>
      </c>
      <c r="E57" s="118" t="s">
        <v>264</v>
      </c>
      <c r="F57" s="118" t="s">
        <v>265</v>
      </c>
      <c r="G57" s="116" t="s">
        <v>266</v>
      </c>
      <c r="H57" s="118" t="s">
        <v>267</v>
      </c>
      <c r="I57" s="120" t="s">
        <v>268</v>
      </c>
      <c r="J57" s="114">
        <v>27</v>
      </c>
      <c r="K57" s="110" t="s">
        <v>40</v>
      </c>
      <c r="L57" s="112" t="s">
        <v>54</v>
      </c>
      <c r="M57" s="112" t="s">
        <v>55</v>
      </c>
      <c r="N57" s="112" t="s">
        <v>43</v>
      </c>
      <c r="O57" s="110">
        <v>300000</v>
      </c>
      <c r="P57" s="110">
        <v>40000</v>
      </c>
      <c r="Q57" s="110">
        <v>90000</v>
      </c>
      <c r="R57" s="110">
        <f>106758*2.5</f>
        <v>266895</v>
      </c>
      <c r="S57" s="102">
        <f>+O57+P57+Q57+R57</f>
        <v>696895</v>
      </c>
      <c r="T57" s="124">
        <v>0</v>
      </c>
      <c r="U57" s="35">
        <f>154000*2.5</f>
        <v>385000</v>
      </c>
      <c r="V57" s="102">
        <f>(27*16000)+(27*36000)</f>
        <v>1404000</v>
      </c>
      <c r="W57" s="102">
        <f>385000+385000+V57+S57</f>
        <v>2870895</v>
      </c>
      <c r="X57" s="102" t="s">
        <v>43</v>
      </c>
    </row>
    <row r="58" spans="1:24" s="12" customFormat="1" ht="72" customHeight="1" thickBot="1">
      <c r="A58" s="115"/>
      <c r="B58" s="60" t="s">
        <v>269</v>
      </c>
      <c r="C58" s="117"/>
      <c r="D58" s="117"/>
      <c r="E58" s="119"/>
      <c r="F58" s="119"/>
      <c r="G58" s="117"/>
      <c r="H58" s="119"/>
      <c r="I58" s="121"/>
      <c r="J58" s="115"/>
      <c r="K58" s="111"/>
      <c r="L58" s="113"/>
      <c r="M58" s="113"/>
      <c r="N58" s="113"/>
      <c r="O58" s="111"/>
      <c r="P58" s="111"/>
      <c r="Q58" s="111"/>
      <c r="R58" s="111"/>
      <c r="S58" s="103"/>
      <c r="T58" s="125"/>
      <c r="U58" s="35">
        <f>154000*2.5</f>
        <v>385000</v>
      </c>
      <c r="V58" s="103"/>
      <c r="W58" s="103"/>
      <c r="X58" s="103"/>
    </row>
    <row r="59" spans="1:24" ht="72.75" thickBot="1">
      <c r="A59" s="28">
        <v>37</v>
      </c>
      <c r="B59" s="29" t="s">
        <v>270</v>
      </c>
      <c r="C59" s="29" t="s">
        <v>246</v>
      </c>
      <c r="D59" s="29" t="s">
        <v>69</v>
      </c>
      <c r="E59" s="28" t="s">
        <v>271</v>
      </c>
      <c r="F59" s="28" t="s">
        <v>272</v>
      </c>
      <c r="G59" s="44" t="s">
        <v>273</v>
      </c>
      <c r="H59" s="28" t="s">
        <v>222</v>
      </c>
      <c r="I59" s="52" t="s">
        <v>74</v>
      </c>
      <c r="J59" s="28">
        <v>11</v>
      </c>
      <c r="K59" s="104" t="s">
        <v>274</v>
      </c>
      <c r="L59" s="105"/>
      <c r="M59" s="105"/>
      <c r="N59" s="105"/>
      <c r="O59" s="105"/>
      <c r="P59" s="105"/>
      <c r="Q59" s="105"/>
      <c r="R59" s="105"/>
      <c r="S59" s="106"/>
      <c r="T59" s="35">
        <v>0</v>
      </c>
      <c r="U59" s="35">
        <f>154000*1.5</f>
        <v>231000</v>
      </c>
      <c r="V59" s="36">
        <f>(11*24000)+(11*13000)+2000000</f>
        <v>2407000</v>
      </c>
      <c r="W59" s="49">
        <f>231000+V59</f>
        <v>2638000</v>
      </c>
      <c r="X59" s="36" t="s">
        <v>43</v>
      </c>
    </row>
    <row r="60" spans="1:24" ht="72.75" thickBot="1">
      <c r="A60" s="28">
        <v>38</v>
      </c>
      <c r="B60" s="29" t="s">
        <v>275</v>
      </c>
      <c r="C60" s="29" t="s">
        <v>246</v>
      </c>
      <c r="D60" s="29" t="s">
        <v>69</v>
      </c>
      <c r="E60" s="28" t="s">
        <v>276</v>
      </c>
      <c r="F60" s="28" t="s">
        <v>277</v>
      </c>
      <c r="G60" s="44" t="s">
        <v>273</v>
      </c>
      <c r="H60" s="28" t="s">
        <v>267</v>
      </c>
      <c r="I60" s="52" t="s">
        <v>74</v>
      </c>
      <c r="J60" s="28">
        <v>52</v>
      </c>
      <c r="K60" s="107" t="s">
        <v>278</v>
      </c>
      <c r="L60" s="108"/>
      <c r="M60" s="108"/>
      <c r="N60" s="108"/>
      <c r="O60" s="108"/>
      <c r="P60" s="108"/>
      <c r="Q60" s="108"/>
      <c r="R60" s="108"/>
      <c r="S60" s="109"/>
      <c r="T60" s="43">
        <v>0</v>
      </c>
      <c r="U60" s="35">
        <f>154000*2.5</f>
        <v>385000</v>
      </c>
      <c r="V60" s="36">
        <f>(52*36000)+(52*13000)+(52*24000)</f>
        <v>3796000</v>
      </c>
      <c r="W60" s="49">
        <f>+V60+385000</f>
        <v>4181000</v>
      </c>
      <c r="X60" s="36" t="s">
        <v>43</v>
      </c>
    </row>
    <row r="61" spans="1:24" ht="60.75" thickBot="1">
      <c r="A61" s="28">
        <v>39</v>
      </c>
      <c r="B61" s="29" t="s">
        <v>279</v>
      </c>
      <c r="C61" s="29" t="s">
        <v>246</v>
      </c>
      <c r="D61" s="29" t="s">
        <v>69</v>
      </c>
      <c r="E61" s="28" t="s">
        <v>280</v>
      </c>
      <c r="F61" s="28" t="s">
        <v>281</v>
      </c>
      <c r="G61" s="44" t="s">
        <v>273</v>
      </c>
      <c r="H61" s="28" t="s">
        <v>267</v>
      </c>
      <c r="I61" s="52" t="s">
        <v>74</v>
      </c>
      <c r="J61" s="28">
        <v>52</v>
      </c>
      <c r="K61" s="107" t="s">
        <v>278</v>
      </c>
      <c r="L61" s="108"/>
      <c r="M61" s="108"/>
      <c r="N61" s="108"/>
      <c r="O61" s="108"/>
      <c r="P61" s="108"/>
      <c r="Q61" s="108"/>
      <c r="R61" s="108"/>
      <c r="S61" s="109"/>
      <c r="T61" s="43">
        <v>0</v>
      </c>
      <c r="U61" s="35">
        <f>154000*2.5</f>
        <v>385000</v>
      </c>
      <c r="V61" s="36">
        <f>(52*36000)+(52*13000)</f>
        <v>2548000</v>
      </c>
      <c r="W61" s="49">
        <f>+V61+385000</f>
        <v>2933000</v>
      </c>
      <c r="X61" s="36" t="s">
        <v>43</v>
      </c>
    </row>
    <row r="62" spans="1:24" ht="84.75" thickBot="1">
      <c r="A62" s="28">
        <v>40</v>
      </c>
      <c r="B62" s="29" t="s">
        <v>282</v>
      </c>
      <c r="C62" s="29" t="s">
        <v>225</v>
      </c>
      <c r="D62" s="29" t="s">
        <v>168</v>
      </c>
      <c r="E62" s="28" t="s">
        <v>283</v>
      </c>
      <c r="F62" s="28" t="s">
        <v>284</v>
      </c>
      <c r="G62" s="44" t="s">
        <v>285</v>
      </c>
      <c r="H62" s="28" t="s">
        <v>186</v>
      </c>
      <c r="I62" s="52" t="s">
        <v>74</v>
      </c>
      <c r="J62" s="28">
        <v>30</v>
      </c>
      <c r="K62" s="107" t="s">
        <v>286</v>
      </c>
      <c r="L62" s="108"/>
      <c r="M62" s="108"/>
      <c r="N62" s="108"/>
      <c r="O62" s="108"/>
      <c r="P62" s="108"/>
      <c r="Q62" s="108"/>
      <c r="R62" s="108"/>
      <c r="S62" s="109"/>
      <c r="T62" s="43">
        <v>0</v>
      </c>
      <c r="U62" s="35">
        <f>154000*2.5</f>
        <v>385000</v>
      </c>
      <c r="V62" s="36">
        <f>(30*36000)+(30*30000)</f>
        <v>1980000</v>
      </c>
      <c r="W62" s="49">
        <f>+V62+385000</f>
        <v>2365000</v>
      </c>
      <c r="X62" s="36" t="s">
        <v>43</v>
      </c>
    </row>
    <row r="63" spans="1:24" ht="84.75" thickBot="1">
      <c r="A63" s="28">
        <v>41</v>
      </c>
      <c r="B63" s="29" t="s">
        <v>287</v>
      </c>
      <c r="C63" s="29" t="s">
        <v>225</v>
      </c>
      <c r="D63" s="29" t="s">
        <v>168</v>
      </c>
      <c r="E63" s="28" t="s">
        <v>288</v>
      </c>
      <c r="F63" s="28" t="s">
        <v>284</v>
      </c>
      <c r="G63" s="44" t="s">
        <v>285</v>
      </c>
      <c r="H63" s="28" t="s">
        <v>186</v>
      </c>
      <c r="I63" s="52" t="s">
        <v>74</v>
      </c>
      <c r="J63" s="28">
        <v>44</v>
      </c>
      <c r="K63" s="104" t="s">
        <v>289</v>
      </c>
      <c r="L63" s="105"/>
      <c r="M63" s="105"/>
      <c r="N63" s="105"/>
      <c r="O63" s="105"/>
      <c r="P63" s="105"/>
      <c r="Q63" s="105"/>
      <c r="R63" s="105"/>
      <c r="S63" s="106"/>
      <c r="T63" s="43">
        <v>0</v>
      </c>
      <c r="U63" s="35">
        <f>154000*2.5</f>
        <v>385000</v>
      </c>
      <c r="V63" s="36">
        <f>(44*36000)+(44*30000)+50000+3500000</f>
        <v>6454000</v>
      </c>
      <c r="W63" s="49">
        <f>385000+V63</f>
        <v>6839000</v>
      </c>
      <c r="X63" s="28" t="s">
        <v>43</v>
      </c>
    </row>
    <row r="64" spans="1:24" s="8" customFormat="1" ht="14.25" customHeight="1" thickBot="1">
      <c r="A64" s="97" t="s">
        <v>290</v>
      </c>
      <c r="B64" s="98"/>
      <c r="C64" s="98"/>
      <c r="D64" s="98"/>
      <c r="E64" s="98"/>
      <c r="F64" s="98"/>
      <c r="G64" s="98"/>
      <c r="H64" s="98"/>
      <c r="I64" s="98"/>
      <c r="J64" s="99"/>
      <c r="K64" s="73" t="s">
        <v>43</v>
      </c>
      <c r="L64" s="28" t="s">
        <v>43</v>
      </c>
      <c r="M64" s="28" t="s">
        <v>43</v>
      </c>
      <c r="N64" s="28" t="s">
        <v>43</v>
      </c>
      <c r="O64" s="74">
        <f>+O57+O56+O55+O48+O45+O34+O29+O24+O16+O13+O11+O9</f>
        <v>6530000</v>
      </c>
      <c r="P64" s="74">
        <f>+P57+P56+P55+P48+P45+P34+P29+P24+P16+P13+P11+P9</f>
        <v>1218000</v>
      </c>
      <c r="Q64" s="74">
        <f>+Q57+Q56+Q55+Q48+Q45+Q34+Q29+Q24+Q16+Q13+Q11+Q9</f>
        <v>890000</v>
      </c>
      <c r="R64" s="74">
        <f>+R57+R56+R55+R48+R45+R34+R29+R24+R16+R13+R11+R9</f>
        <v>2562192</v>
      </c>
      <c r="S64" s="75">
        <f>+S57+S56+S55+S48+S45+S34+S29+S24+S16+S13+S11+S9</f>
        <v>11200192</v>
      </c>
      <c r="T64" s="49">
        <f>+T63+T62+T61+T60+T59+T57+T55+T52+T51+T50+T49+T48+T47+T45+T44+T43+T42+T41+T40+T39+T38+T36+T34+T33+T32+T31+T30+T29+T28+T27+T26+T24+T23+T22+T20+T19+T18+T16+T15+T14+T13+T11+T9</f>
        <v>0</v>
      </c>
      <c r="U64" s="49">
        <f>SUM(U9:U63)</f>
        <v>11781000</v>
      </c>
      <c r="V64" s="49">
        <f>SUM(V9:V63)</f>
        <v>77195000</v>
      </c>
      <c r="W64" s="49">
        <f>SUM(W9:W63)</f>
        <v>100176192</v>
      </c>
      <c r="X64" s="36" t="s">
        <v>43</v>
      </c>
    </row>
    <row r="65" spans="1:24" s="8" customFormat="1" ht="13.5" customHeight="1">
      <c r="A65" s="76" t="s">
        <v>291</v>
      </c>
      <c r="B65" s="77"/>
      <c r="C65" s="76"/>
      <c r="D65" s="78"/>
      <c r="E65" s="79"/>
      <c r="F65" s="79"/>
      <c r="G65" s="77"/>
      <c r="H65" s="79"/>
      <c r="I65" s="80"/>
      <c r="J65" s="79"/>
      <c r="K65" s="81"/>
      <c r="L65" s="81"/>
      <c r="M65" s="81"/>
      <c r="N65" s="82"/>
      <c r="O65" s="82"/>
      <c r="P65" s="83"/>
      <c r="Q65" s="83"/>
      <c r="R65" s="83"/>
      <c r="S65" s="83"/>
      <c r="T65" s="83"/>
      <c r="U65" s="83"/>
      <c r="V65" s="83"/>
      <c r="W65" s="81"/>
      <c r="X65" s="83"/>
    </row>
    <row r="66" spans="1:24" s="8" customFormat="1" ht="13.5" customHeight="1">
      <c r="A66" s="84" t="s">
        <v>292</v>
      </c>
      <c r="B66" s="77"/>
      <c r="C66" s="76"/>
      <c r="D66" s="78"/>
      <c r="E66" s="79"/>
      <c r="F66" s="79"/>
      <c r="G66" s="77"/>
      <c r="H66" s="79"/>
      <c r="I66" s="80"/>
      <c r="J66" s="79"/>
      <c r="K66" s="81"/>
      <c r="L66" s="81"/>
      <c r="M66" s="81"/>
      <c r="N66" s="82"/>
      <c r="O66" s="82"/>
      <c r="P66" s="83"/>
      <c r="Q66" s="83"/>
      <c r="R66" s="83"/>
      <c r="S66" s="83"/>
      <c r="T66" s="83"/>
      <c r="U66" s="83"/>
      <c r="V66" s="83"/>
      <c r="W66" s="81"/>
      <c r="X66" s="83"/>
    </row>
    <row r="67" spans="1:24" s="8" customFormat="1" ht="13.5" customHeight="1">
      <c r="A67" s="84" t="s">
        <v>293</v>
      </c>
      <c r="B67" s="77"/>
      <c r="C67" s="76"/>
      <c r="D67" s="78"/>
      <c r="E67" s="79"/>
      <c r="F67" s="79"/>
      <c r="G67" s="77"/>
      <c r="H67" s="79"/>
      <c r="I67" s="80"/>
      <c r="J67" s="79"/>
      <c r="K67" s="81"/>
      <c r="L67" s="81"/>
      <c r="M67" s="81"/>
      <c r="N67" s="82"/>
      <c r="O67" s="82"/>
      <c r="P67" s="83"/>
      <c r="Q67" s="83"/>
      <c r="R67" s="83"/>
      <c r="S67" s="83"/>
      <c r="T67" s="83"/>
      <c r="U67" s="83"/>
      <c r="V67" s="83"/>
      <c r="W67" s="81"/>
      <c r="X67" s="83"/>
    </row>
    <row r="68" spans="1:24" s="8" customFormat="1" ht="13.5" customHeight="1">
      <c r="A68" s="84" t="s">
        <v>294</v>
      </c>
      <c r="B68" s="77"/>
      <c r="C68" s="76"/>
      <c r="D68" s="78"/>
      <c r="E68" s="79"/>
      <c r="F68" s="79"/>
      <c r="G68" s="77"/>
      <c r="H68" s="79"/>
      <c r="I68" s="80"/>
      <c r="J68" s="79"/>
      <c r="K68" s="81"/>
      <c r="L68" s="81"/>
      <c r="M68" s="81"/>
      <c r="N68" s="82"/>
      <c r="O68" s="82"/>
      <c r="P68" s="83"/>
      <c r="Q68" s="83"/>
      <c r="R68" s="83"/>
      <c r="S68" s="83"/>
      <c r="T68" s="83"/>
      <c r="U68" s="83"/>
      <c r="V68" s="83"/>
      <c r="W68" s="81"/>
      <c r="X68" s="83"/>
    </row>
    <row r="69" spans="1:24" s="8" customFormat="1" ht="13.5" customHeight="1">
      <c r="A69" s="76" t="s">
        <v>295</v>
      </c>
      <c r="B69" s="76"/>
      <c r="C69" s="76"/>
      <c r="D69" s="78"/>
      <c r="E69" s="79"/>
      <c r="F69" s="79"/>
      <c r="G69" s="77"/>
      <c r="H69" s="79"/>
      <c r="I69" s="80"/>
      <c r="J69" s="79"/>
      <c r="K69" s="81"/>
      <c r="L69" s="81"/>
      <c r="M69" s="81"/>
      <c r="N69" s="82"/>
      <c r="O69" s="82"/>
      <c r="P69" s="83"/>
      <c r="Q69" s="83"/>
      <c r="R69" s="83"/>
      <c r="S69" s="83"/>
      <c r="T69" s="83"/>
      <c r="U69" s="83"/>
      <c r="V69" s="83"/>
      <c r="W69" s="81"/>
      <c r="X69" s="83"/>
    </row>
    <row r="70" spans="1:23" s="85" customFormat="1" ht="12">
      <c r="A70" s="85" t="s">
        <v>296</v>
      </c>
      <c r="B70" s="86"/>
      <c r="C70" s="86"/>
      <c r="D70" s="86"/>
      <c r="F70" s="87"/>
      <c r="W70" s="88"/>
    </row>
    <row r="71" spans="1:23" s="85" customFormat="1" ht="12">
      <c r="A71" s="89" t="s">
        <v>297</v>
      </c>
      <c r="B71" s="86"/>
      <c r="C71" s="86"/>
      <c r="D71" s="86"/>
      <c r="F71" s="87"/>
      <c r="W71" s="88"/>
    </row>
    <row r="72" spans="1:24" s="8" customFormat="1" ht="13.5" customHeight="1">
      <c r="A72" s="76" t="s">
        <v>298</v>
      </c>
      <c r="B72" s="77"/>
      <c r="C72" s="76"/>
      <c r="D72" s="78"/>
      <c r="E72" s="79"/>
      <c r="F72" s="79"/>
      <c r="G72" s="77"/>
      <c r="H72" s="79"/>
      <c r="I72" s="80"/>
      <c r="J72" s="79"/>
      <c r="K72" s="81"/>
      <c r="L72" s="81"/>
      <c r="M72" s="81"/>
      <c r="N72" s="82"/>
      <c r="O72" s="82"/>
      <c r="P72" s="83"/>
      <c r="Q72" s="83"/>
      <c r="R72" s="83"/>
      <c r="S72" s="83"/>
      <c r="T72" s="83"/>
      <c r="U72" s="83"/>
      <c r="V72" s="83"/>
      <c r="W72" s="81"/>
      <c r="X72" s="83"/>
    </row>
    <row r="73" spans="1:24" s="8" customFormat="1" ht="13.5" customHeight="1">
      <c r="A73" s="84" t="s">
        <v>299</v>
      </c>
      <c r="B73" s="77"/>
      <c r="C73" s="76"/>
      <c r="D73" s="78"/>
      <c r="E73" s="79"/>
      <c r="F73" s="79"/>
      <c r="G73" s="77"/>
      <c r="H73" s="79"/>
      <c r="I73" s="80"/>
      <c r="J73" s="79"/>
      <c r="K73" s="81"/>
      <c r="L73" s="81"/>
      <c r="M73" s="81"/>
      <c r="N73" s="82"/>
      <c r="O73" s="82"/>
      <c r="P73" s="83"/>
      <c r="Q73" s="83"/>
      <c r="R73" s="83"/>
      <c r="S73" s="83"/>
      <c r="T73" s="83"/>
      <c r="U73" s="83"/>
      <c r="V73" s="83"/>
      <c r="W73" s="81"/>
      <c r="X73" s="83"/>
    </row>
    <row r="74" spans="1:24" s="8" customFormat="1" ht="13.5" customHeight="1">
      <c r="A74" s="84" t="s">
        <v>300</v>
      </c>
      <c r="B74" s="77"/>
      <c r="C74" s="76"/>
      <c r="D74" s="78"/>
      <c r="E74" s="79"/>
      <c r="F74" s="79"/>
      <c r="G74" s="77"/>
      <c r="H74" s="79"/>
      <c r="I74" s="80"/>
      <c r="J74" s="79"/>
      <c r="K74" s="81"/>
      <c r="L74" s="81"/>
      <c r="M74" s="81"/>
      <c r="N74" s="82"/>
      <c r="O74" s="82"/>
      <c r="P74" s="83"/>
      <c r="Q74" s="83"/>
      <c r="R74" s="83"/>
      <c r="S74" s="83"/>
      <c r="T74" s="83"/>
      <c r="U74" s="83"/>
      <c r="V74" s="83"/>
      <c r="W74" s="81"/>
      <c r="X74" s="83"/>
    </row>
    <row r="75" spans="1:23" s="85" customFormat="1" ht="12">
      <c r="A75" s="85" t="s">
        <v>301</v>
      </c>
      <c r="B75" s="86"/>
      <c r="C75" s="86"/>
      <c r="D75" s="86"/>
      <c r="F75" s="87"/>
      <c r="W75" s="88"/>
    </row>
    <row r="76" spans="1:24" s="8" customFormat="1" ht="13.5" customHeight="1">
      <c r="A76" s="84" t="s">
        <v>302</v>
      </c>
      <c r="B76" s="77"/>
      <c r="C76" s="76"/>
      <c r="D76" s="78"/>
      <c r="E76" s="79"/>
      <c r="F76" s="79"/>
      <c r="G76" s="77"/>
      <c r="H76" s="79"/>
      <c r="I76" s="80"/>
      <c r="J76" s="79"/>
      <c r="K76" s="81"/>
      <c r="L76" s="81"/>
      <c r="M76" s="81"/>
      <c r="N76" s="82"/>
      <c r="O76" s="82"/>
      <c r="P76" s="83"/>
      <c r="Q76" s="83"/>
      <c r="R76" s="83"/>
      <c r="S76" s="83"/>
      <c r="T76" s="83"/>
      <c r="U76" s="83"/>
      <c r="V76" s="83"/>
      <c r="W76" s="81"/>
      <c r="X76" s="83"/>
    </row>
    <row r="77" spans="1:24" s="8" customFormat="1" ht="13.5" customHeight="1">
      <c r="A77" s="84" t="s">
        <v>303</v>
      </c>
      <c r="B77" s="77"/>
      <c r="C77" s="76"/>
      <c r="D77" s="78"/>
      <c r="E77" s="79"/>
      <c r="F77" s="79"/>
      <c r="G77" s="77"/>
      <c r="H77" s="79"/>
      <c r="I77" s="80"/>
      <c r="J77" s="79"/>
      <c r="K77" s="81"/>
      <c r="L77" s="81"/>
      <c r="M77" s="81"/>
      <c r="N77" s="82"/>
      <c r="O77" s="82"/>
      <c r="P77" s="83"/>
      <c r="Q77" s="83"/>
      <c r="R77" s="83"/>
      <c r="S77" s="83"/>
      <c r="T77" s="83"/>
      <c r="U77" s="83"/>
      <c r="V77" s="83"/>
      <c r="W77" s="81"/>
      <c r="X77" s="83"/>
    </row>
    <row r="78" spans="1:23" s="85" customFormat="1" ht="12">
      <c r="A78" s="85" t="s">
        <v>304</v>
      </c>
      <c r="B78" s="86"/>
      <c r="C78" s="86"/>
      <c r="D78" s="86"/>
      <c r="F78" s="87"/>
      <c r="W78" s="88"/>
    </row>
    <row r="79" spans="1:24" s="8" customFormat="1" ht="13.5" customHeight="1">
      <c r="A79" s="84" t="s">
        <v>305</v>
      </c>
      <c r="B79" s="77"/>
      <c r="C79" s="76"/>
      <c r="D79" s="78"/>
      <c r="E79" s="79"/>
      <c r="F79" s="79"/>
      <c r="G79" s="77"/>
      <c r="H79" s="79"/>
      <c r="I79" s="80"/>
      <c r="J79" s="79"/>
      <c r="K79" s="81"/>
      <c r="L79" s="81"/>
      <c r="M79" s="81"/>
      <c r="N79" s="82"/>
      <c r="O79" s="82"/>
      <c r="P79" s="83"/>
      <c r="Q79" s="83"/>
      <c r="R79" s="83"/>
      <c r="S79" s="83"/>
      <c r="T79" s="83"/>
      <c r="U79" s="83"/>
      <c r="V79" s="83"/>
      <c r="W79" s="81"/>
      <c r="X79" s="83"/>
    </row>
    <row r="80" spans="1:24" s="8" customFormat="1" ht="13.5" customHeight="1">
      <c r="A80" s="84" t="s">
        <v>306</v>
      </c>
      <c r="B80" s="77"/>
      <c r="C80" s="76"/>
      <c r="D80" s="78"/>
      <c r="E80" s="79"/>
      <c r="F80" s="79"/>
      <c r="G80" s="77"/>
      <c r="H80" s="79"/>
      <c r="I80" s="80"/>
      <c r="J80" s="79"/>
      <c r="K80" s="81"/>
      <c r="L80" s="81"/>
      <c r="M80" s="81"/>
      <c r="N80" s="82"/>
      <c r="O80" s="82"/>
      <c r="P80" s="83"/>
      <c r="Q80" s="83"/>
      <c r="R80" s="83"/>
      <c r="S80" s="83"/>
      <c r="T80" s="83"/>
      <c r="U80" s="83"/>
      <c r="V80" s="83"/>
      <c r="W80" s="81"/>
      <c r="X80" s="83"/>
    </row>
    <row r="81" spans="1:24" s="8" customFormat="1" ht="13.5" customHeight="1">
      <c r="A81" s="84" t="s">
        <v>307</v>
      </c>
      <c r="B81" s="77"/>
      <c r="C81" s="76"/>
      <c r="D81" s="78"/>
      <c r="E81" s="79"/>
      <c r="F81" s="79"/>
      <c r="G81" s="77"/>
      <c r="H81" s="79"/>
      <c r="I81" s="80"/>
      <c r="J81" s="79"/>
      <c r="K81" s="81"/>
      <c r="L81" s="81"/>
      <c r="M81" s="81"/>
      <c r="N81" s="82"/>
      <c r="O81" s="82"/>
      <c r="P81" s="83"/>
      <c r="Q81" s="83"/>
      <c r="R81" s="83"/>
      <c r="S81" s="83"/>
      <c r="T81" s="83"/>
      <c r="U81" s="83"/>
      <c r="V81" s="83"/>
      <c r="W81" s="81"/>
      <c r="X81" s="83"/>
    </row>
    <row r="82" spans="1:24" s="8" customFormat="1" ht="14.25" customHeight="1">
      <c r="A82" s="84" t="s">
        <v>308</v>
      </c>
      <c r="B82" s="77"/>
      <c r="C82" s="76"/>
      <c r="D82" s="78"/>
      <c r="E82" s="79"/>
      <c r="F82" s="79"/>
      <c r="G82" s="77"/>
      <c r="H82" s="79"/>
      <c r="I82" s="80"/>
      <c r="J82" s="79"/>
      <c r="K82" s="81"/>
      <c r="L82" s="81"/>
      <c r="M82" s="81"/>
      <c r="N82" s="82"/>
      <c r="O82" s="82"/>
      <c r="P82" s="83"/>
      <c r="Q82" s="83"/>
      <c r="R82" s="83"/>
      <c r="S82" s="83"/>
      <c r="T82" s="83"/>
      <c r="U82" s="83"/>
      <c r="V82" s="83"/>
      <c r="W82" s="81"/>
      <c r="X82" s="83"/>
    </row>
    <row r="83" spans="1:24" s="8" customFormat="1" ht="13.5" customHeight="1">
      <c r="A83" s="84" t="s">
        <v>309</v>
      </c>
      <c r="B83" s="77"/>
      <c r="C83" s="76"/>
      <c r="D83" s="78"/>
      <c r="E83" s="79"/>
      <c r="F83" s="79"/>
      <c r="G83" s="77"/>
      <c r="H83" s="79"/>
      <c r="I83" s="80"/>
      <c r="J83" s="79"/>
      <c r="K83" s="81"/>
      <c r="L83" s="81"/>
      <c r="M83" s="81"/>
      <c r="N83" s="82"/>
      <c r="O83" s="82"/>
      <c r="P83" s="83"/>
      <c r="Q83" s="83"/>
      <c r="R83" s="83"/>
      <c r="S83" s="83"/>
      <c r="T83" s="83"/>
      <c r="U83" s="83"/>
      <c r="V83" s="83"/>
      <c r="W83" s="81"/>
      <c r="X83" s="83"/>
    </row>
    <row r="84" spans="1:24" s="8" customFormat="1" ht="12.75" customHeight="1">
      <c r="A84" s="84" t="s">
        <v>310</v>
      </c>
      <c r="B84" s="77"/>
      <c r="C84" s="76"/>
      <c r="D84" s="78"/>
      <c r="E84" s="79"/>
      <c r="F84" s="79"/>
      <c r="G84" s="77"/>
      <c r="H84" s="79"/>
      <c r="I84" s="80"/>
      <c r="J84" s="79"/>
      <c r="K84" s="81"/>
      <c r="L84" s="81"/>
      <c r="M84" s="81"/>
      <c r="N84" s="82"/>
      <c r="O84" s="82"/>
      <c r="P84" s="83"/>
      <c r="Q84" s="83"/>
      <c r="R84" s="83"/>
      <c r="S84" s="83"/>
      <c r="T84" s="83"/>
      <c r="U84" s="83"/>
      <c r="V84" s="83"/>
      <c r="W84" s="81"/>
      <c r="X84" s="83"/>
    </row>
    <row r="85" spans="1:24" s="8" customFormat="1" ht="13.5" customHeight="1">
      <c r="A85" s="76" t="s">
        <v>311</v>
      </c>
      <c r="B85" s="77"/>
      <c r="C85" s="76"/>
      <c r="D85" s="78"/>
      <c r="E85" s="79"/>
      <c r="F85" s="79"/>
      <c r="G85" s="77"/>
      <c r="H85" s="79"/>
      <c r="I85" s="80"/>
      <c r="J85" s="79"/>
      <c r="K85" s="81"/>
      <c r="L85" s="81"/>
      <c r="M85" s="81"/>
      <c r="N85" s="82"/>
      <c r="O85" s="82"/>
      <c r="P85" s="83"/>
      <c r="Q85" s="83"/>
      <c r="R85" s="83"/>
      <c r="S85" s="83"/>
      <c r="T85" s="83"/>
      <c r="U85" s="83"/>
      <c r="V85" s="83"/>
      <c r="W85" s="81"/>
      <c r="X85" s="83"/>
    </row>
    <row r="86" spans="1:24" s="8" customFormat="1" ht="13.5" customHeight="1">
      <c r="A86" s="84" t="s">
        <v>312</v>
      </c>
      <c r="B86" s="77"/>
      <c r="C86" s="76"/>
      <c r="D86" s="78"/>
      <c r="E86" s="79"/>
      <c r="F86" s="79"/>
      <c r="G86" s="77"/>
      <c r="H86" s="79"/>
      <c r="I86" s="80"/>
      <c r="J86" s="79"/>
      <c r="K86" s="81"/>
      <c r="L86" s="81"/>
      <c r="M86" s="81"/>
      <c r="N86" s="82"/>
      <c r="O86" s="82"/>
      <c r="P86" s="83"/>
      <c r="Q86" s="83"/>
      <c r="R86" s="83"/>
      <c r="S86" s="83"/>
      <c r="T86" s="83"/>
      <c r="U86" s="83"/>
      <c r="V86" s="83"/>
      <c r="W86" s="81"/>
      <c r="X86" s="83"/>
    </row>
    <row r="87" spans="1:23" s="85" customFormat="1" ht="12">
      <c r="A87" s="85" t="s">
        <v>313</v>
      </c>
      <c r="B87" s="86"/>
      <c r="C87" s="86"/>
      <c r="D87" s="86"/>
      <c r="F87" s="87"/>
      <c r="W87" s="88"/>
    </row>
    <row r="88" spans="1:23" s="85" customFormat="1" ht="12">
      <c r="A88" s="85" t="s">
        <v>314</v>
      </c>
      <c r="B88" s="86"/>
      <c r="C88" s="86"/>
      <c r="D88" s="86"/>
      <c r="F88" s="87"/>
      <c r="W88" s="88"/>
    </row>
    <row r="89" spans="1:23" s="85" customFormat="1" ht="12">
      <c r="A89" s="89" t="s">
        <v>315</v>
      </c>
      <c r="B89" s="86"/>
      <c r="C89" s="86"/>
      <c r="D89" s="86"/>
      <c r="F89" s="87"/>
      <c r="W89" s="88"/>
    </row>
    <row r="90" spans="1:23" s="85" customFormat="1" ht="12">
      <c r="A90" s="85" t="s">
        <v>316</v>
      </c>
      <c r="B90" s="86"/>
      <c r="C90" s="86"/>
      <c r="D90" s="86"/>
      <c r="F90" s="87"/>
      <c r="W90" s="88"/>
    </row>
    <row r="91" spans="1:23" s="85" customFormat="1" ht="12">
      <c r="A91" s="85" t="s">
        <v>317</v>
      </c>
      <c r="B91" s="86"/>
      <c r="C91" s="86"/>
      <c r="D91" s="86"/>
      <c r="F91" s="87"/>
      <c r="W91" s="88"/>
    </row>
    <row r="92" spans="1:24" s="8" customFormat="1" ht="12">
      <c r="A92" s="84" t="s">
        <v>318</v>
      </c>
      <c r="B92" s="77"/>
      <c r="C92" s="76"/>
      <c r="D92" s="78"/>
      <c r="E92" s="79"/>
      <c r="F92" s="79"/>
      <c r="G92" s="77"/>
      <c r="H92" s="79"/>
      <c r="I92" s="80"/>
      <c r="J92" s="79"/>
      <c r="K92" s="81"/>
      <c r="L92" s="81"/>
      <c r="M92" s="81"/>
      <c r="N92" s="82"/>
      <c r="O92" s="82"/>
      <c r="P92" s="83"/>
      <c r="Q92" s="83"/>
      <c r="R92" s="83"/>
      <c r="S92" s="83"/>
      <c r="T92" s="83"/>
      <c r="U92" s="83"/>
      <c r="V92" s="83"/>
      <c r="W92" s="81"/>
      <c r="X92" s="83"/>
    </row>
    <row r="93" spans="1:24" s="8" customFormat="1" ht="13.5" customHeight="1">
      <c r="A93" s="84" t="s">
        <v>319</v>
      </c>
      <c r="B93" s="77"/>
      <c r="C93" s="76"/>
      <c r="D93" s="78"/>
      <c r="E93" s="79"/>
      <c r="F93" s="79"/>
      <c r="G93" s="77"/>
      <c r="H93" s="79"/>
      <c r="I93" s="80"/>
      <c r="J93" s="79"/>
      <c r="K93" s="81"/>
      <c r="L93" s="81"/>
      <c r="M93" s="81"/>
      <c r="N93" s="82"/>
      <c r="O93" s="82"/>
      <c r="P93" s="83"/>
      <c r="Q93" s="83"/>
      <c r="R93" s="83"/>
      <c r="S93" s="83"/>
      <c r="T93" s="83"/>
      <c r="U93" s="83"/>
      <c r="V93" s="83"/>
      <c r="W93" s="81"/>
      <c r="X93" s="83"/>
    </row>
    <row r="94" spans="1:24" s="8" customFormat="1" ht="14.25" customHeight="1">
      <c r="A94" s="84" t="s">
        <v>320</v>
      </c>
      <c r="B94" s="77"/>
      <c r="C94" s="76"/>
      <c r="D94" s="78"/>
      <c r="E94" s="79"/>
      <c r="F94" s="79"/>
      <c r="G94" s="77"/>
      <c r="H94" s="79"/>
      <c r="I94" s="80"/>
      <c r="J94" s="79"/>
      <c r="K94" s="81"/>
      <c r="L94" s="81"/>
      <c r="M94" s="81"/>
      <c r="N94" s="82"/>
      <c r="O94" s="82"/>
      <c r="P94" s="83"/>
      <c r="Q94" s="83"/>
      <c r="R94" s="83"/>
      <c r="S94" s="83"/>
      <c r="T94" s="83"/>
      <c r="U94" s="83"/>
      <c r="V94" s="83"/>
      <c r="W94" s="81"/>
      <c r="X94" s="83"/>
    </row>
    <row r="95" spans="1:24" s="8" customFormat="1" ht="13.5" customHeight="1">
      <c r="A95" s="84" t="s">
        <v>321</v>
      </c>
      <c r="B95" s="77"/>
      <c r="C95" s="76"/>
      <c r="D95" s="78"/>
      <c r="E95" s="79"/>
      <c r="F95" s="79"/>
      <c r="G95" s="77"/>
      <c r="H95" s="79"/>
      <c r="I95" s="80"/>
      <c r="J95" s="79"/>
      <c r="K95" s="81"/>
      <c r="L95" s="81"/>
      <c r="M95" s="81"/>
      <c r="N95" s="82"/>
      <c r="O95" s="82"/>
      <c r="P95" s="83"/>
      <c r="Q95" s="83"/>
      <c r="R95" s="83"/>
      <c r="S95" s="83"/>
      <c r="T95" s="83"/>
      <c r="U95" s="83"/>
      <c r="V95" s="83"/>
      <c r="W95" s="81"/>
      <c r="X95" s="83"/>
    </row>
    <row r="96" spans="1:24" s="8" customFormat="1" ht="13.5" customHeight="1">
      <c r="A96" s="84" t="s">
        <v>322</v>
      </c>
      <c r="B96" s="77"/>
      <c r="C96" s="76"/>
      <c r="D96" s="78"/>
      <c r="E96" s="79"/>
      <c r="F96" s="79"/>
      <c r="G96" s="77"/>
      <c r="H96" s="79"/>
      <c r="I96" s="80"/>
      <c r="J96" s="79"/>
      <c r="K96" s="81"/>
      <c r="L96" s="81"/>
      <c r="M96" s="81"/>
      <c r="N96" s="82"/>
      <c r="O96" s="82"/>
      <c r="P96" s="83"/>
      <c r="Q96" s="83"/>
      <c r="R96" s="83"/>
      <c r="S96" s="83"/>
      <c r="T96" s="83"/>
      <c r="U96" s="83"/>
      <c r="V96" s="83"/>
      <c r="W96" s="81"/>
      <c r="X96" s="83"/>
    </row>
    <row r="97" spans="1:23" s="85" customFormat="1" ht="12">
      <c r="A97" s="85" t="s">
        <v>323</v>
      </c>
      <c r="B97" s="86"/>
      <c r="C97" s="86"/>
      <c r="D97" s="86"/>
      <c r="F97" s="87"/>
      <c r="W97" s="88"/>
    </row>
    <row r="98" spans="1:23" s="85" customFormat="1" ht="12">
      <c r="A98" s="89" t="s">
        <v>324</v>
      </c>
      <c r="B98" s="86"/>
      <c r="C98" s="86"/>
      <c r="D98" s="86"/>
      <c r="F98" s="87"/>
      <c r="W98" s="88"/>
    </row>
    <row r="99" spans="1:23" s="85" customFormat="1" ht="12">
      <c r="A99" s="85" t="s">
        <v>325</v>
      </c>
      <c r="B99" s="86"/>
      <c r="C99" s="86"/>
      <c r="D99" s="86"/>
      <c r="F99" s="87"/>
      <c r="W99" s="88"/>
    </row>
    <row r="100" spans="1:23" s="85" customFormat="1" ht="12">
      <c r="A100" s="85" t="s">
        <v>326</v>
      </c>
      <c r="B100" s="86"/>
      <c r="C100" s="86"/>
      <c r="D100" s="86"/>
      <c r="F100" s="87"/>
      <c r="W100" s="88"/>
    </row>
    <row r="101" spans="1:23" s="85" customFormat="1" ht="12">
      <c r="A101" s="89" t="s">
        <v>327</v>
      </c>
      <c r="B101" s="86"/>
      <c r="C101" s="86"/>
      <c r="D101" s="86"/>
      <c r="F101" s="87"/>
      <c r="W101" s="88"/>
    </row>
    <row r="102" spans="1:23" s="85" customFormat="1" ht="12">
      <c r="A102" s="85" t="s">
        <v>328</v>
      </c>
      <c r="B102" s="86"/>
      <c r="C102" s="86"/>
      <c r="D102" s="86"/>
      <c r="F102" s="87"/>
      <c r="W102" s="88"/>
    </row>
    <row r="103" spans="1:23" s="85" customFormat="1" ht="12">
      <c r="A103" s="85" t="s">
        <v>329</v>
      </c>
      <c r="B103" s="86"/>
      <c r="C103" s="86"/>
      <c r="D103" s="86"/>
      <c r="F103" s="87"/>
      <c r="W103" s="88"/>
    </row>
    <row r="104" spans="1:23" s="85" customFormat="1" ht="12">
      <c r="A104" s="89" t="s">
        <v>330</v>
      </c>
      <c r="B104" s="86"/>
      <c r="C104" s="86"/>
      <c r="D104" s="86"/>
      <c r="F104" s="87"/>
      <c r="W104" s="88"/>
    </row>
    <row r="105" spans="1:24" s="85" customFormat="1" ht="12">
      <c r="A105" s="76" t="s">
        <v>331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9"/>
      <c r="X105" s="76"/>
    </row>
    <row r="106" spans="1:24" s="85" customFormat="1" ht="12">
      <c r="A106" s="84" t="s">
        <v>332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9"/>
      <c r="X106" s="76"/>
    </row>
    <row r="107" spans="1:23" s="85" customFormat="1" ht="12.75" customHeight="1">
      <c r="A107" s="85" t="s">
        <v>333</v>
      </c>
      <c r="B107" s="86"/>
      <c r="C107" s="86"/>
      <c r="D107" s="86"/>
      <c r="F107" s="87"/>
      <c r="W107" s="88"/>
    </row>
    <row r="108" spans="1:23" s="85" customFormat="1" ht="12.75" customHeight="1">
      <c r="A108" s="89" t="s">
        <v>334</v>
      </c>
      <c r="B108" s="86"/>
      <c r="C108" s="86"/>
      <c r="D108" s="86"/>
      <c r="F108" s="87"/>
      <c r="W108" s="88"/>
    </row>
    <row r="109" spans="1:23" s="85" customFormat="1" ht="12.75" customHeight="1">
      <c r="A109" s="85" t="s">
        <v>335</v>
      </c>
      <c r="B109" s="86"/>
      <c r="C109" s="86"/>
      <c r="D109" s="86"/>
      <c r="F109" s="87"/>
      <c r="W109" s="88"/>
    </row>
    <row r="110" spans="1:23" s="85" customFormat="1" ht="12.75" customHeight="1">
      <c r="A110" s="89" t="s">
        <v>336</v>
      </c>
      <c r="B110" s="86"/>
      <c r="C110" s="86"/>
      <c r="D110" s="86"/>
      <c r="F110" s="87"/>
      <c r="W110" s="88"/>
    </row>
    <row r="111" spans="1:24" s="8" customFormat="1" ht="13.5" customHeight="1">
      <c r="A111" s="84" t="s">
        <v>337</v>
      </c>
      <c r="B111" s="77"/>
      <c r="C111" s="76"/>
      <c r="D111" s="78"/>
      <c r="E111" s="79"/>
      <c r="F111" s="79"/>
      <c r="G111" s="77"/>
      <c r="H111" s="79"/>
      <c r="I111" s="80"/>
      <c r="J111" s="79"/>
      <c r="K111" s="81"/>
      <c r="L111" s="81"/>
      <c r="M111" s="81"/>
      <c r="N111" s="82"/>
      <c r="O111" s="82"/>
      <c r="P111" s="83"/>
      <c r="Q111" s="83"/>
      <c r="R111" s="83"/>
      <c r="S111" s="83"/>
      <c r="T111" s="83"/>
      <c r="U111" s="83"/>
      <c r="V111" s="83"/>
      <c r="W111" s="81"/>
      <c r="X111" s="83"/>
    </row>
    <row r="112" spans="1:23" s="85" customFormat="1" ht="12">
      <c r="A112" s="85" t="s">
        <v>338</v>
      </c>
      <c r="B112" s="86"/>
      <c r="C112" s="86"/>
      <c r="D112" s="86"/>
      <c r="F112" s="87"/>
      <c r="W112" s="88"/>
    </row>
    <row r="113" spans="1:23" s="85" customFormat="1" ht="12">
      <c r="A113" s="89" t="s">
        <v>339</v>
      </c>
      <c r="B113" s="86"/>
      <c r="C113" s="86"/>
      <c r="D113" s="86"/>
      <c r="F113" s="87"/>
      <c r="W113" s="88"/>
    </row>
    <row r="114" spans="1:24" s="8" customFormat="1" ht="13.5" customHeight="1">
      <c r="A114" s="76" t="s">
        <v>340</v>
      </c>
      <c r="B114" s="77"/>
      <c r="C114" s="76"/>
      <c r="D114" s="78"/>
      <c r="E114" s="79"/>
      <c r="F114" s="79"/>
      <c r="G114" s="77"/>
      <c r="H114" s="79"/>
      <c r="I114" s="80"/>
      <c r="J114" s="79"/>
      <c r="K114" s="81"/>
      <c r="L114" s="81"/>
      <c r="M114" s="81"/>
      <c r="N114" s="82"/>
      <c r="O114" s="82"/>
      <c r="P114" s="83"/>
      <c r="Q114" s="83"/>
      <c r="R114" s="83"/>
      <c r="S114" s="83"/>
      <c r="T114" s="83"/>
      <c r="U114" s="83"/>
      <c r="V114" s="83"/>
      <c r="W114" s="81"/>
      <c r="X114" s="83"/>
    </row>
    <row r="115" spans="1:24" s="8" customFormat="1" ht="13.5" customHeight="1">
      <c r="A115" s="76" t="s">
        <v>341</v>
      </c>
      <c r="B115" s="77"/>
      <c r="C115" s="76"/>
      <c r="D115" s="78"/>
      <c r="E115" s="79"/>
      <c r="F115" s="79"/>
      <c r="G115" s="77"/>
      <c r="H115" s="79"/>
      <c r="I115" s="80"/>
      <c r="J115" s="79"/>
      <c r="K115" s="81"/>
      <c r="L115" s="81"/>
      <c r="M115" s="81"/>
      <c r="N115" s="82"/>
      <c r="O115" s="82"/>
      <c r="P115" s="83"/>
      <c r="Q115" s="83"/>
      <c r="R115" s="83"/>
      <c r="S115" s="83"/>
      <c r="T115" s="83"/>
      <c r="U115" s="83"/>
      <c r="V115" s="83"/>
      <c r="W115" s="81"/>
      <c r="X115" s="83"/>
    </row>
    <row r="116" spans="1:23" s="85" customFormat="1" ht="12">
      <c r="A116" s="85" t="s">
        <v>342</v>
      </c>
      <c r="B116" s="86"/>
      <c r="C116" s="86"/>
      <c r="D116" s="86"/>
      <c r="F116" s="87"/>
      <c r="W116" s="88"/>
    </row>
    <row r="117" spans="1:23" s="85" customFormat="1" ht="12">
      <c r="A117" s="89" t="s">
        <v>343</v>
      </c>
      <c r="B117" s="86"/>
      <c r="C117" s="86"/>
      <c r="D117" s="86"/>
      <c r="F117" s="87"/>
      <c r="W117" s="88"/>
    </row>
    <row r="118" spans="1:24" s="8" customFormat="1" ht="13.5" customHeight="1">
      <c r="A118" s="76" t="s">
        <v>344</v>
      </c>
      <c r="B118" s="77"/>
      <c r="C118" s="76"/>
      <c r="D118" s="78"/>
      <c r="E118" s="79"/>
      <c r="F118" s="79"/>
      <c r="G118" s="77"/>
      <c r="H118" s="79"/>
      <c r="I118" s="80"/>
      <c r="J118" s="79"/>
      <c r="K118" s="81"/>
      <c r="L118" s="81"/>
      <c r="M118" s="81"/>
      <c r="N118" s="82"/>
      <c r="O118" s="82"/>
      <c r="P118" s="83"/>
      <c r="Q118" s="83"/>
      <c r="R118" s="83"/>
      <c r="S118" s="83"/>
      <c r="T118" s="83"/>
      <c r="U118" s="83"/>
      <c r="V118" s="83"/>
      <c r="W118" s="81"/>
      <c r="X118" s="83"/>
    </row>
    <row r="119" spans="1:24" s="8" customFormat="1" ht="13.5" customHeight="1">
      <c r="A119" s="76" t="s">
        <v>345</v>
      </c>
      <c r="B119" s="77"/>
      <c r="C119" s="76"/>
      <c r="D119" s="78"/>
      <c r="E119" s="79"/>
      <c r="F119" s="79"/>
      <c r="G119" s="77"/>
      <c r="H119" s="79"/>
      <c r="I119" s="80"/>
      <c r="J119" s="79"/>
      <c r="K119" s="81"/>
      <c r="L119" s="81"/>
      <c r="M119" s="81"/>
      <c r="N119" s="82"/>
      <c r="O119" s="82"/>
      <c r="P119" s="83"/>
      <c r="Q119" s="83"/>
      <c r="R119" s="83"/>
      <c r="S119" s="83"/>
      <c r="T119" s="83"/>
      <c r="U119" s="83"/>
      <c r="V119" s="83"/>
      <c r="W119" s="81"/>
      <c r="X119" s="83"/>
    </row>
    <row r="120" spans="1:23" s="85" customFormat="1" ht="12">
      <c r="A120" s="85" t="s">
        <v>346</v>
      </c>
      <c r="B120" s="86"/>
      <c r="C120" s="86"/>
      <c r="D120" s="86"/>
      <c r="F120" s="87"/>
      <c r="W120" s="88"/>
    </row>
    <row r="121" spans="1:23" s="85" customFormat="1" ht="12">
      <c r="A121" s="85" t="s">
        <v>347</v>
      </c>
      <c r="B121" s="86"/>
      <c r="C121" s="86"/>
      <c r="D121" s="86"/>
      <c r="F121" s="87"/>
      <c r="W121" s="88"/>
    </row>
    <row r="122" spans="1:24" s="85" customFormat="1" ht="12">
      <c r="A122" s="76" t="s">
        <v>348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9"/>
      <c r="X122" s="76"/>
    </row>
    <row r="123" spans="1:24" s="85" customFormat="1" ht="12">
      <c r="A123" s="84" t="s">
        <v>349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9"/>
      <c r="X123" s="76"/>
    </row>
    <row r="124" spans="1:24" s="85" customFormat="1" ht="12">
      <c r="A124" s="84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9"/>
      <c r="X124" s="76"/>
    </row>
    <row r="125" spans="1:24" s="85" customFormat="1" ht="12">
      <c r="A125" s="84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9"/>
      <c r="X125" s="76"/>
    </row>
    <row r="126" spans="1:24" s="85" customFormat="1" ht="12">
      <c r="A126" s="84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9"/>
      <c r="X126" s="76"/>
    </row>
    <row r="127" spans="1:24" s="85" customFormat="1" ht="12">
      <c r="A127" s="84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9"/>
      <c r="X127" s="76"/>
    </row>
    <row r="129" spans="1:4" ht="15.75" thickBot="1">
      <c r="A129" s="90"/>
      <c r="B129" s="27"/>
      <c r="C129" s="91"/>
      <c r="D129" s="27"/>
    </row>
    <row r="130" spans="1:4" ht="15">
      <c r="A130" s="100" t="s">
        <v>350</v>
      </c>
      <c r="B130" s="100"/>
      <c r="C130" s="100"/>
      <c r="D130" s="100"/>
    </row>
    <row r="131" spans="1:4" ht="28.5" customHeight="1">
      <c r="A131" s="101" t="s">
        <v>351</v>
      </c>
      <c r="B131" s="101"/>
      <c r="C131" s="101"/>
      <c r="D131" s="101"/>
    </row>
    <row r="133" ht="15">
      <c r="A133" s="93" t="s">
        <v>352</v>
      </c>
    </row>
    <row r="145" spans="1:24" s="8" customFormat="1" ht="13.5" customHeight="1">
      <c r="A145" s="84"/>
      <c r="B145" s="77"/>
      <c r="C145" s="76"/>
      <c r="D145" s="78"/>
      <c r="E145" s="79"/>
      <c r="F145" s="79"/>
      <c r="G145" s="77"/>
      <c r="H145" s="79"/>
      <c r="I145" s="80"/>
      <c r="J145" s="79"/>
      <c r="K145" s="81"/>
      <c r="L145" s="81"/>
      <c r="M145" s="81"/>
      <c r="N145" s="82"/>
      <c r="O145" s="82"/>
      <c r="P145" s="83"/>
      <c r="Q145" s="83"/>
      <c r="R145" s="83"/>
      <c r="S145" s="83"/>
      <c r="T145" s="83"/>
      <c r="U145" s="83"/>
      <c r="V145" s="83"/>
      <c r="W145" s="81"/>
      <c r="X145" s="83"/>
    </row>
  </sheetData>
  <sheetProtection/>
  <autoFilter ref="A8:X123"/>
  <mergeCells count="279">
    <mergeCell ref="A2:B3"/>
    <mergeCell ref="C2:U2"/>
    <mergeCell ref="V2:X2"/>
    <mergeCell ref="C3:U3"/>
    <mergeCell ref="V3:X3"/>
    <mergeCell ref="A5:B5"/>
    <mergeCell ref="C5:G5"/>
    <mergeCell ref="V5:X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A9:A10"/>
    <mergeCell ref="C9:C10"/>
    <mergeCell ref="D9:D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W9:W10"/>
    <mergeCell ref="X9:X10"/>
    <mergeCell ref="A11:A12"/>
    <mergeCell ref="C11:C12"/>
    <mergeCell ref="D11:D12"/>
    <mergeCell ref="F11:F12"/>
    <mergeCell ref="G11:G12"/>
    <mergeCell ref="H11:H12"/>
    <mergeCell ref="I11:I12"/>
    <mergeCell ref="K11:K12"/>
    <mergeCell ref="X11:X12"/>
    <mergeCell ref="K14:S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W11:W12"/>
    <mergeCell ref="P16:P17"/>
    <mergeCell ref="Q16:Q17"/>
    <mergeCell ref="K15:S15"/>
    <mergeCell ref="A16:A17"/>
    <mergeCell ref="B16:B17"/>
    <mergeCell ref="C16:C17"/>
    <mergeCell ref="D16:D17"/>
    <mergeCell ref="F16:F17"/>
    <mergeCell ref="G16:G17"/>
    <mergeCell ref="H16:H17"/>
    <mergeCell ref="R16:R17"/>
    <mergeCell ref="S16:S17"/>
    <mergeCell ref="T16:T17"/>
    <mergeCell ref="U16:U17"/>
    <mergeCell ref="W16:W17"/>
    <mergeCell ref="I16:I17"/>
    <mergeCell ref="K16:K17"/>
    <mergeCell ref="K18:S18"/>
    <mergeCell ref="L16:L17"/>
    <mergeCell ref="M16:M17"/>
    <mergeCell ref="N16:N17"/>
    <mergeCell ref="O16:O17"/>
    <mergeCell ref="K19:S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S21"/>
    <mergeCell ref="T20:T21"/>
    <mergeCell ref="V20:V21"/>
    <mergeCell ref="W20:W21"/>
    <mergeCell ref="X20:X21"/>
    <mergeCell ref="K22:S22"/>
    <mergeCell ref="K23:S23"/>
    <mergeCell ref="A24:A25"/>
    <mergeCell ref="B24:B25"/>
    <mergeCell ref="C24:C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W24:W25"/>
    <mergeCell ref="X24:X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S27"/>
    <mergeCell ref="V26:V27"/>
    <mergeCell ref="W26:W27"/>
    <mergeCell ref="X26:X27"/>
    <mergeCell ref="K28:S28"/>
    <mergeCell ref="K30:S30"/>
    <mergeCell ref="K31:S31"/>
    <mergeCell ref="K32:S32"/>
    <mergeCell ref="K33: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T34:T35"/>
    <mergeCell ref="U34:U35"/>
    <mergeCell ref="V34:V35"/>
    <mergeCell ref="W34:W35"/>
    <mergeCell ref="X34:X35"/>
    <mergeCell ref="K35:S35"/>
    <mergeCell ref="A36:A37"/>
    <mergeCell ref="B36:B37"/>
    <mergeCell ref="C36:C37"/>
    <mergeCell ref="D36:D37"/>
    <mergeCell ref="F36:F37"/>
    <mergeCell ref="G36:G37"/>
    <mergeCell ref="H36:H37"/>
    <mergeCell ref="I36:I37"/>
    <mergeCell ref="K36:S37"/>
    <mergeCell ref="T36:T37"/>
    <mergeCell ref="U36:U37"/>
    <mergeCell ref="W36:W37"/>
    <mergeCell ref="X36:X37"/>
    <mergeCell ref="K38:S38"/>
    <mergeCell ref="K39:S39"/>
    <mergeCell ref="A40:A41"/>
    <mergeCell ref="C40:C41"/>
    <mergeCell ref="D40:D41"/>
    <mergeCell ref="F40:F41"/>
    <mergeCell ref="G40:G41"/>
    <mergeCell ref="H40:H41"/>
    <mergeCell ref="I40:I41"/>
    <mergeCell ref="K40:S41"/>
    <mergeCell ref="W40:W41"/>
    <mergeCell ref="X40:X41"/>
    <mergeCell ref="K42:S42"/>
    <mergeCell ref="K43:S43"/>
    <mergeCell ref="K44:S44"/>
    <mergeCell ref="A45:A46"/>
    <mergeCell ref="C45:C46"/>
    <mergeCell ref="D45:D46"/>
    <mergeCell ref="E45:E46"/>
    <mergeCell ref="F45:F46"/>
    <mergeCell ref="G45:G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H52:H54"/>
    <mergeCell ref="T45:T46"/>
    <mergeCell ref="V45:V46"/>
    <mergeCell ref="W45:W46"/>
    <mergeCell ref="X45:X46"/>
    <mergeCell ref="K47:S47"/>
    <mergeCell ref="K49:S49"/>
    <mergeCell ref="N45:N46"/>
    <mergeCell ref="O45:O46"/>
    <mergeCell ref="P45:P46"/>
    <mergeCell ref="V52:V53"/>
    <mergeCell ref="K50:S50"/>
    <mergeCell ref="K51:S51"/>
    <mergeCell ref="A52:A54"/>
    <mergeCell ref="B52:B53"/>
    <mergeCell ref="C52:C54"/>
    <mergeCell ref="D52:D54"/>
    <mergeCell ref="E52:E53"/>
    <mergeCell ref="F52:F54"/>
    <mergeCell ref="G52:G54"/>
    <mergeCell ref="I55:I56"/>
    <mergeCell ref="I52:I54"/>
    <mergeCell ref="J52:J53"/>
    <mergeCell ref="K52:S54"/>
    <mergeCell ref="T52:T54"/>
    <mergeCell ref="U52:U53"/>
    <mergeCell ref="W55:W56"/>
    <mergeCell ref="W52:W54"/>
    <mergeCell ref="X52:X54"/>
    <mergeCell ref="A55:A56"/>
    <mergeCell ref="C55:C56"/>
    <mergeCell ref="D55:D56"/>
    <mergeCell ref="E55:E56"/>
    <mergeCell ref="F55:F56"/>
    <mergeCell ref="G55:G56"/>
    <mergeCell ref="H55:H56"/>
    <mergeCell ref="J57:J58"/>
    <mergeCell ref="J55:J56"/>
    <mergeCell ref="K55:K56"/>
    <mergeCell ref="N55:N56"/>
    <mergeCell ref="T55:T56"/>
    <mergeCell ref="V55:V56"/>
    <mergeCell ref="P57:P58"/>
    <mergeCell ref="S57:S58"/>
    <mergeCell ref="T57:T58"/>
    <mergeCell ref="V57:V58"/>
    <mergeCell ref="X55:X56"/>
    <mergeCell ref="A57:A58"/>
    <mergeCell ref="C57:C58"/>
    <mergeCell ref="D57:D58"/>
    <mergeCell ref="E57:E58"/>
    <mergeCell ref="F57:F58"/>
    <mergeCell ref="G57:G58"/>
    <mergeCell ref="H57:H58"/>
    <mergeCell ref="I57:I58"/>
    <mergeCell ref="R57:R58"/>
    <mergeCell ref="W57:W58"/>
    <mergeCell ref="K57:K58"/>
    <mergeCell ref="L57:L58"/>
    <mergeCell ref="M57:M58"/>
    <mergeCell ref="N57:N58"/>
    <mergeCell ref="O57:O58"/>
    <mergeCell ref="A64:J64"/>
    <mergeCell ref="A130:D130"/>
    <mergeCell ref="A131:D131"/>
    <mergeCell ref="X57:X58"/>
    <mergeCell ref="K59:S59"/>
    <mergeCell ref="K60:S60"/>
    <mergeCell ref="K61:S61"/>
    <mergeCell ref="K62:S62"/>
    <mergeCell ref="K63:S63"/>
    <mergeCell ref="Q57:Q58"/>
  </mergeCells>
  <printOptions horizontalCentered="1"/>
  <pageMargins left="0.31496062992125984" right="0.9055118110236221" top="0.7480314960629921" bottom="0.7480314960629921" header="0.31496062992125984" footer="0.31496062992125984"/>
  <pageSetup orientation="landscape" paperSize="5" scale="57" r:id="rId4"/>
  <headerFooter>
    <oddHeader>&amp;CPágina &amp;P de 8
</oddHeader>
  </headerFooter>
  <legacyDrawing r:id="rId3"/>
  <oleObjects>
    <oleObject progId="" shapeId="1671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</dc:creator>
  <cp:keywords/>
  <dc:description/>
  <cp:lastModifiedBy>Amador</cp:lastModifiedBy>
  <dcterms:created xsi:type="dcterms:W3CDTF">2014-04-25T19:55:10Z</dcterms:created>
  <dcterms:modified xsi:type="dcterms:W3CDTF">2014-04-26T02:27:55Z</dcterms:modified>
  <cp:category/>
  <cp:version/>
  <cp:contentType/>
  <cp:contentStatus/>
</cp:coreProperties>
</file>